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menonbusinesseconomics.sharepoint.com/sites/12240/Shared Documents/General/Oppdatering 2021 v2/Leveranse okt 2021/"/>
    </mc:Choice>
  </mc:AlternateContent>
  <xr:revisionPtr revIDLastSave="427" documentId="14_{31D6878A-1048-470A-9C17-BB07E270E317}" xr6:coauthVersionLast="47" xr6:coauthVersionMax="47" xr10:uidLastSave="{199005BE-5263-4B22-8082-F7FD4255E366}"/>
  <bookViews>
    <workbookView xWindow="-120" yWindow="-120" windowWidth="51840" windowHeight="21240" firstSheet="1" activeTab="1" xr2:uid="{00000000-000D-0000-FFFF-FFFF00000000}"/>
  </bookViews>
  <sheets>
    <sheet name="Data" sheetId="1" state="hidden" r:id="rId1"/>
    <sheet name="Introduksjon" sheetId="6" r:id="rId2"/>
    <sheet name="Inputdata" sheetId="5" r:id="rId3"/>
    <sheet name="Modell" sheetId="3" r:id="rId4"/>
    <sheet name="Forutsetninger" sheetId="4" r:id="rId5"/>
    <sheet name="Prognoser" sheetId="2" r:id="rId6"/>
  </sheets>
  <definedNames>
    <definedName name="a_avdrag">Prognoser!$B$22</definedName>
    <definedName name="a_avdrag_kol">Data!$C$2:$C$444</definedName>
    <definedName name="a_driutg">Prognoser!$B$25</definedName>
    <definedName name="a_driutg_kol">Data!$F$2:$F$444</definedName>
    <definedName name="a_inv">Prognoser!$B$23</definedName>
    <definedName name="a_inv_innt">Prognoser!$B$24</definedName>
    <definedName name="a_inv_innt_kol">Data!$E$2:$E$444</definedName>
    <definedName name="a_inv_kol">Data!$D$2:$D$444</definedName>
    <definedName name="akk_merforbruk">Prognoser!$B$31</definedName>
    <definedName name="akk_merforbruk_kol">Data!$L$2:$L$444</definedName>
    <definedName name="Andel_rentebinding">Prognoser!$B$34</definedName>
    <definedName name="Andel_rentebinding_default">Prognoser!$B$33</definedName>
    <definedName name="andel_skatt">Prognoser!$B$35</definedName>
    <definedName name="andel_skatt_kol">Data!$P$2:$P$444</definedName>
    <definedName name="andre_skatter_d">Prognoser!$B$58</definedName>
    <definedName name="andre_skatter_kol">Data!$O$2:$O$444</definedName>
    <definedName name="avdragsutg_old_kol">Data!$T$2:$T$444</definedName>
    <definedName name="Avdragsutgifter">Prognoser!$B$44</definedName>
    <definedName name="avkastning_finansformue">Prognoser!$B$26</definedName>
    <definedName name="avkastning_finansformue_kol">Data!$G$2:$G$444</definedName>
    <definedName name="Brutto_låneopptak">Prognoser!$B$47</definedName>
    <definedName name="Differanse_disposisjonsfond">Prognoser!$B$66</definedName>
    <definedName name="dispfond">Prognoser!$B$36</definedName>
    <definedName name="dispfond_kol">Data!$Q$2:$Q$444</definedName>
    <definedName name="Driftsutgifter">Prognoser!$B$42</definedName>
    <definedName name="drinnt">Prognoser!$B$40</definedName>
    <definedName name="drinnt_d_kol">Data!$I$2:$I$444</definedName>
    <definedName name="drinnt_old">Prognoser!$B$30</definedName>
    <definedName name="driutg_old_kol">Data!$R$2:$R$444</definedName>
    <definedName name="finansformue">Prognoser!$B$27</definedName>
    <definedName name="finansformue_kol">Data!$K$2:$K$444</definedName>
    <definedName name="Forutsetninger">Forutsetninger!$A$1</definedName>
    <definedName name="Forventet_rente">Prognoser!$B$3</definedName>
    <definedName name="Gjeld">Prognoser!$B$49</definedName>
    <definedName name="gjeld_kol">Data!$H$2:$H$444</definedName>
    <definedName name="gjeld_old">Prognoser!$B$28</definedName>
    <definedName name="Gjeldsandel">Prognoser!$B$50</definedName>
    <definedName name="Gjeldsandel_faktisk">Prognoser!$B$38</definedName>
    <definedName name="gjeldsandel_old">Prognoser!$B$37</definedName>
    <definedName name="inv_innt_old_kol">Data!$V$2:$V$444</definedName>
    <definedName name="Investeringer">Prognoser!$B$45</definedName>
    <definedName name="investeringer_old_kol">Data!$U$2:$U$444</definedName>
    <definedName name="Investeringsinntekter">Prognoser!$B$46</definedName>
    <definedName name="kommnavn_kol">Data!$B$2:$B$444</definedName>
    <definedName name="kommnr_kol">Data!$A$2:$A$444</definedName>
    <definedName name="Kommunenr">Prognoser!$B$18</definedName>
    <definedName name="Min_netdrires19">Prognoser!$B$54</definedName>
    <definedName name="Minimum_disposisjonsfond">Prognoser!$B$64</definedName>
    <definedName name="Minimum_netto_driftsresultat">Prognoser!$B$53</definedName>
    <definedName name="Netdrires_rom">Prognoser!$B$52</definedName>
    <definedName name="renteeksp_gjeld">Prognoser!$B$32</definedName>
    <definedName name="renteeksp_gjeld_kol">Data!$M$2:$M$444</definedName>
    <definedName name="renteinnt_utbytte_kol">Data!$J$2:$J$444</definedName>
    <definedName name="renteinnt_utbytte_old">Prognoser!$B$29</definedName>
    <definedName name="Renteinntekter_og_utbytte">Prognoser!$B$41</definedName>
    <definedName name="renteutg_old_kol">Data!$S$2:$S$444</definedName>
    <definedName name="Renteutgifter">Prognoser!$B$43</definedName>
    <definedName name="Renteøkning_avkastning">Prognoser!$B$15</definedName>
    <definedName name="Renteøkning_lån">Prognoser!$B$14</definedName>
    <definedName name="Risiko_andre_skatter">Prognoser!$B$12</definedName>
    <definedName name="Risiko_renteinntekt">Prognoser!$B$9</definedName>
    <definedName name="Risiko_skatt_over_90">Prognoser!$B$11</definedName>
    <definedName name="Risiko_skatt_under_90">Prognoser!$B$10</definedName>
    <definedName name="risikojust_min_netdrires">Prognoser!$B$68</definedName>
    <definedName name="Risikojustert_minimumsnivå_nettodriftsresultat">Prognoser!$B$67</definedName>
    <definedName name="skatt_inntf_natur">Prognoser!$B$57</definedName>
    <definedName name="skatt_inntf_natur_kol">Data!$N$2:$N$444</definedName>
    <definedName name="skatterisiko">Prognoser!$B$59</definedName>
    <definedName name="vekst_driftsinntekter">Prognoser!$B$7</definedName>
    <definedName name="År_på_bygge_opp_dispfond">Prognoser!$B$16</definedName>
    <definedName name="År_renteoppgang">Prognoser!$B$13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5" l="1"/>
  <c r="F35" i="5"/>
  <c r="F42" i="5"/>
  <c r="F39" i="5"/>
  <c r="F38" i="5"/>
  <c r="F37" i="5"/>
  <c r="F40" i="5"/>
  <c r="H15" i="3" l="1"/>
  <c r="B3" i="2" s="1"/>
  <c r="H14" i="3"/>
  <c r="H13" i="3"/>
  <c r="B22" i="2" s="1"/>
  <c r="F43" i="5"/>
  <c r="H18" i="3" s="1"/>
  <c r="H12" i="3"/>
  <c r="H11" i="3"/>
  <c r="B23" i="2" s="1"/>
  <c r="G39" i="2"/>
  <c r="H39" i="2" s="1"/>
  <c r="I39" i="2" s="1"/>
  <c r="J39" i="2" s="1"/>
  <c r="K39" i="2" s="1"/>
  <c r="L39" i="2" s="1"/>
  <c r="M39" i="2" s="1"/>
  <c r="N39" i="2" s="1"/>
  <c r="O39" i="2" s="1"/>
  <c r="P39" i="2" s="1"/>
  <c r="Q39" i="2" s="1"/>
  <c r="R39" i="2" s="1"/>
  <c r="S39" i="2" s="1"/>
  <c r="T39" i="2" s="1"/>
  <c r="F39" i="2"/>
  <c r="B36" i="2"/>
  <c r="B32" i="2"/>
  <c r="B61" i="2" s="1"/>
  <c r="B27" i="2"/>
  <c r="E61" i="2" s="1"/>
  <c r="B18" i="2"/>
  <c r="B2" i="2"/>
  <c r="E19" i="3"/>
  <c r="B34" i="2" s="1"/>
  <c r="C19" i="3" s="1"/>
  <c r="I18" i="3"/>
  <c r="E17" i="3"/>
  <c r="B6" i="2" s="1"/>
  <c r="C17" i="3"/>
  <c r="G16" i="3"/>
  <c r="E16" i="3"/>
  <c r="E15" i="3"/>
  <c r="I14" i="3"/>
  <c r="E14" i="3"/>
  <c r="I13" i="3"/>
  <c r="E13" i="3"/>
  <c r="I12" i="3"/>
  <c r="E12" i="3"/>
  <c r="I11" i="3"/>
  <c r="E11" i="3"/>
  <c r="I10" i="3"/>
  <c r="H10" i="3"/>
  <c r="B25" i="2" s="1"/>
  <c r="C10" i="3" s="1"/>
  <c r="E10" i="3"/>
  <c r="G42" i="5"/>
  <c r="G41" i="5"/>
  <c r="G40" i="5"/>
  <c r="H16" i="3"/>
  <c r="B5" i="2" s="1"/>
  <c r="G39" i="5"/>
  <c r="G38" i="5"/>
  <c r="G37" i="5"/>
  <c r="G36" i="5"/>
  <c r="G35" i="5"/>
  <c r="G24" i="5"/>
  <c r="G20" i="5"/>
  <c r="G19" i="5"/>
  <c r="G18" i="5"/>
  <c r="G17" i="5"/>
  <c r="G16" i="5"/>
  <c r="E37" i="5" l="1"/>
  <c r="G12" i="3" s="1"/>
  <c r="B24" i="2"/>
  <c r="B26" i="2"/>
  <c r="B41" i="2" s="1"/>
  <c r="C11" i="3"/>
  <c r="C13" i="3"/>
  <c r="C12" i="3"/>
  <c r="C16" i="3"/>
  <c r="B7" i="2"/>
  <c r="B58" i="2" s="1"/>
  <c r="C15" i="3"/>
  <c r="E36" i="5"/>
  <c r="G11" i="3" s="1"/>
  <c r="E54" i="2"/>
  <c r="G22" i="5"/>
  <c r="B35" i="2"/>
  <c r="B59" i="2" s="1"/>
  <c r="B30" i="2"/>
  <c r="B57" i="2"/>
  <c r="B29" i="2"/>
  <c r="B19" i="2"/>
  <c r="B28" i="2"/>
  <c r="B31" i="2"/>
  <c r="G21" i="5" s="1"/>
  <c r="C14" i="3" l="1"/>
  <c r="E41" i="2"/>
  <c r="B37" i="2"/>
  <c r="C18" i="3" s="1"/>
  <c r="B40" i="2"/>
  <c r="G14" i="5"/>
  <c r="T41" i="2"/>
  <c r="P41" i="2"/>
  <c r="L41" i="2"/>
  <c r="H41" i="2"/>
  <c r="S41" i="2"/>
  <c r="O41" i="2"/>
  <c r="K41" i="2"/>
  <c r="G41" i="2"/>
  <c r="R41" i="2"/>
  <c r="J41" i="2"/>
  <c r="M41" i="2"/>
  <c r="Q41" i="2"/>
  <c r="I41" i="2"/>
  <c r="N41" i="2"/>
  <c r="F41" i="2"/>
  <c r="B6" i="3"/>
  <c r="B6" i="5"/>
  <c r="E6" i="6"/>
  <c r="B38" i="2"/>
  <c r="G23" i="5"/>
  <c r="B60" i="2"/>
  <c r="B63" i="2" s="1"/>
  <c r="B64" i="2" s="1"/>
  <c r="M11" i="3" s="1"/>
  <c r="G15" i="5"/>
  <c r="E39" i="5" s="1"/>
  <c r="G14" i="3" s="1"/>
  <c r="B43" i="2"/>
  <c r="E43" i="2" s="1"/>
  <c r="B44" i="2"/>
  <c r="E44" i="2" s="1"/>
  <c r="E59" i="2" s="1"/>
  <c r="E18" i="3" l="1"/>
  <c r="G18" i="3" s="1"/>
  <c r="B48" i="2"/>
  <c r="E48" i="2" s="1"/>
  <c r="E43" i="5"/>
  <c r="E42" i="5"/>
  <c r="G15" i="3" s="1"/>
  <c r="E38" i="5"/>
  <c r="G13" i="3" s="1"/>
  <c r="E35" i="5"/>
  <c r="G10" i="3" s="1"/>
  <c r="E40" i="2"/>
  <c r="B42" i="2"/>
  <c r="B45" i="2" s="1"/>
  <c r="B65" i="2"/>
  <c r="B66" i="2" s="1"/>
  <c r="B46" i="2" l="1"/>
  <c r="B47" i="2" s="1"/>
  <c r="F40" i="2"/>
  <c r="E42" i="2"/>
  <c r="E51" i="2" s="1"/>
  <c r="E55" i="2"/>
  <c r="B51" i="2"/>
  <c r="F54" i="2"/>
  <c r="F55" i="2" s="1"/>
  <c r="E47" i="2" l="1"/>
  <c r="B49" i="2"/>
  <c r="F42" i="2"/>
  <c r="G40" i="2"/>
  <c r="G54" i="2"/>
  <c r="B53" i="2"/>
  <c r="B67" i="2" s="1"/>
  <c r="E56" i="2"/>
  <c r="E45" i="2"/>
  <c r="F56" i="2" l="1"/>
  <c r="F45" i="2"/>
  <c r="E58" i="2"/>
  <c r="E46" i="2"/>
  <c r="E57" i="2" s="1"/>
  <c r="B50" i="2"/>
  <c r="E49" i="2"/>
  <c r="G55" i="2"/>
  <c r="H54" i="2"/>
  <c r="G42" i="2"/>
  <c r="H40" i="2"/>
  <c r="E52" i="2" l="1"/>
  <c r="E53" i="2" s="1"/>
  <c r="E50" i="2"/>
  <c r="F43" i="2"/>
  <c r="F44" i="2"/>
  <c r="I40" i="2"/>
  <c r="H42" i="2"/>
  <c r="G56" i="2"/>
  <c r="G45" i="2"/>
  <c r="F58" i="2"/>
  <c r="F46" i="2"/>
  <c r="F57" i="2" s="1"/>
  <c r="H55" i="2"/>
  <c r="I54" i="2"/>
  <c r="F51" i="2" l="1"/>
  <c r="B52" i="2" s="1"/>
  <c r="M9" i="3" s="1"/>
  <c r="H56" i="2"/>
  <c r="H45" i="2"/>
  <c r="G46" i="2"/>
  <c r="G57" i="2" s="1"/>
  <c r="G58" i="2"/>
  <c r="I42" i="2"/>
  <c r="J40" i="2"/>
  <c r="F47" i="2"/>
  <c r="F49" i="2" s="1"/>
  <c r="I55" i="2"/>
  <c r="F59" i="2"/>
  <c r="F48" i="2"/>
  <c r="J54" i="2" l="1"/>
  <c r="J55" i="2" s="1"/>
  <c r="F50" i="2"/>
  <c r="G43" i="2"/>
  <c r="G44" i="2"/>
  <c r="G47" i="2" s="1"/>
  <c r="G52" i="2" s="1"/>
  <c r="G53" i="2" s="1"/>
  <c r="J42" i="2"/>
  <c r="K40" i="2"/>
  <c r="I56" i="2"/>
  <c r="I45" i="2"/>
  <c r="F52" i="2"/>
  <c r="H46" i="2"/>
  <c r="H57" i="2" s="1"/>
  <c r="H58" i="2"/>
  <c r="G49" i="2" l="1"/>
  <c r="J56" i="2"/>
  <c r="J45" i="2"/>
  <c r="G59" i="2"/>
  <c r="G48" i="2"/>
  <c r="B54" i="2"/>
  <c r="M10" i="3" s="1"/>
  <c r="F53" i="2"/>
  <c r="I58" i="2"/>
  <c r="I46" i="2"/>
  <c r="I57" i="2" s="1"/>
  <c r="K42" i="2"/>
  <c r="L40" i="2"/>
  <c r="G51" i="2"/>
  <c r="K54" i="2"/>
  <c r="K55" i="2" s="1"/>
  <c r="J58" i="2" l="1"/>
  <c r="J46" i="2"/>
  <c r="J57" i="2" s="1"/>
  <c r="M40" i="2"/>
  <c r="L42" i="2"/>
  <c r="L54" i="2"/>
  <c r="L55" i="2" s="1"/>
  <c r="B68" i="2"/>
  <c r="M12" i="3" s="1"/>
  <c r="M16" i="3" s="1"/>
  <c r="F61" i="2"/>
  <c r="F62" i="2" s="1"/>
  <c r="F60" i="2"/>
  <c r="K56" i="2"/>
  <c r="K45" i="2"/>
  <c r="G60" i="2"/>
  <c r="G50" i="2"/>
  <c r="M14" i="3" s="1"/>
  <c r="H44" i="2"/>
  <c r="H43" i="2"/>
  <c r="H51" i="2" s="1"/>
  <c r="L56" i="2" l="1"/>
  <c r="L45" i="2"/>
  <c r="G61" i="2"/>
  <c r="G62" i="2" s="1"/>
  <c r="K46" i="2"/>
  <c r="K57" i="2" s="1"/>
  <c r="K58" i="2"/>
  <c r="H59" i="2"/>
  <c r="H48" i="2"/>
  <c r="H47" i="2"/>
  <c r="M54" i="2"/>
  <c r="M55" i="2" s="1"/>
  <c r="N40" i="2"/>
  <c r="M42" i="2"/>
  <c r="N54" i="2" l="1"/>
  <c r="N55" i="2" s="1"/>
  <c r="H52" i="2"/>
  <c r="H53" i="2" s="1"/>
  <c r="H49" i="2"/>
  <c r="L46" i="2"/>
  <c r="L57" i="2" s="1"/>
  <c r="L58" i="2"/>
  <c r="M56" i="2"/>
  <c r="M45" i="2"/>
  <c r="N42" i="2"/>
  <c r="O40" i="2"/>
  <c r="H50" i="2" l="1"/>
  <c r="I43" i="2"/>
  <c r="I44" i="2"/>
  <c r="H60" i="2"/>
  <c r="H61" i="2"/>
  <c r="H62" i="2" s="1"/>
  <c r="N56" i="2"/>
  <c r="N45" i="2"/>
  <c r="M58" i="2"/>
  <c r="M46" i="2"/>
  <c r="M57" i="2" s="1"/>
  <c r="O42" i="2"/>
  <c r="P40" i="2"/>
  <c r="O54" i="2"/>
  <c r="O55" i="2" s="1"/>
  <c r="N58" i="2" l="1"/>
  <c r="N46" i="2"/>
  <c r="N57" i="2" s="1"/>
  <c r="O56" i="2"/>
  <c r="O45" i="2"/>
  <c r="I51" i="2"/>
  <c r="Q40" i="2"/>
  <c r="P42" i="2"/>
  <c r="I59" i="2"/>
  <c r="I48" i="2"/>
  <c r="I47" i="2"/>
  <c r="I52" i="2" s="1"/>
  <c r="I53" i="2" s="1"/>
  <c r="P54" i="2"/>
  <c r="P55" i="2" s="1"/>
  <c r="I60" i="2" l="1"/>
  <c r="I61" i="2"/>
  <c r="I62" i="2" s="1"/>
  <c r="O58" i="2"/>
  <c r="O46" i="2"/>
  <c r="O57" i="2" s="1"/>
  <c r="Q42" i="2"/>
  <c r="R40" i="2"/>
  <c r="P56" i="2"/>
  <c r="P45" i="2"/>
  <c r="Q54" i="2"/>
  <c r="Q55" i="2" s="1"/>
  <c r="I49" i="2"/>
  <c r="R54" i="2" l="1"/>
  <c r="R55" i="2" s="1"/>
  <c r="Q56" i="2"/>
  <c r="Q45" i="2"/>
  <c r="I50" i="2"/>
  <c r="J44" i="2"/>
  <c r="J43" i="2"/>
  <c r="P46" i="2"/>
  <c r="P57" i="2" s="1"/>
  <c r="P58" i="2"/>
  <c r="R42" i="2"/>
  <c r="S40" i="2"/>
  <c r="R56" i="2" l="1"/>
  <c r="R45" i="2"/>
  <c r="J59" i="2"/>
  <c r="J48" i="2"/>
  <c r="J47" i="2"/>
  <c r="J52" i="2" s="1"/>
  <c r="J53" i="2" s="1"/>
  <c r="Q58" i="2"/>
  <c r="Q46" i="2"/>
  <c r="Q57" i="2" s="1"/>
  <c r="S54" i="2"/>
  <c r="S55" i="2" s="1"/>
  <c r="S42" i="2"/>
  <c r="T40" i="2"/>
  <c r="J51" i="2"/>
  <c r="T42" i="2" l="1"/>
  <c r="S56" i="2"/>
  <c r="S45" i="2"/>
  <c r="J60" i="2"/>
  <c r="J61" i="2"/>
  <c r="J62" i="2" s="1"/>
  <c r="J49" i="2"/>
  <c r="R58" i="2"/>
  <c r="R46" i="2"/>
  <c r="R57" i="2" s="1"/>
  <c r="T54" i="2"/>
  <c r="T55" i="2" s="1"/>
  <c r="J50" i="2" l="1"/>
  <c r="K44" i="2"/>
  <c r="K43" i="2"/>
  <c r="T56" i="2"/>
  <c r="T45" i="2"/>
  <c r="S46" i="2"/>
  <c r="S57" i="2" s="1"/>
  <c r="S58" i="2"/>
  <c r="K59" i="2" l="1"/>
  <c r="K48" i="2"/>
  <c r="K47" i="2"/>
  <c r="K52" i="2" s="1"/>
  <c r="K53" i="2" s="1"/>
  <c r="T46" i="2"/>
  <c r="T57" i="2" s="1"/>
  <c r="T58" i="2"/>
  <c r="K51" i="2"/>
  <c r="K49" i="2" l="1"/>
  <c r="K61" i="2"/>
  <c r="K62" i="2" s="1"/>
  <c r="K60" i="2"/>
  <c r="K50" i="2" l="1"/>
  <c r="L44" i="2"/>
  <c r="L43" i="2"/>
  <c r="L51" i="2" l="1"/>
  <c r="L59" i="2"/>
  <c r="L48" i="2"/>
  <c r="L47" i="2"/>
  <c r="L52" i="2" s="1"/>
  <c r="L53" i="2" s="1"/>
  <c r="L61" i="2" l="1"/>
  <c r="L62" i="2" s="1"/>
  <c r="L60" i="2"/>
  <c r="L49" i="2"/>
  <c r="L50" i="2" l="1"/>
  <c r="M44" i="2"/>
  <c r="M43" i="2"/>
  <c r="M59" i="2" l="1"/>
  <c r="M48" i="2"/>
  <c r="M47" i="2"/>
  <c r="M52" i="2" s="1"/>
  <c r="M53" i="2" s="1"/>
  <c r="M51" i="2"/>
  <c r="M49" i="2" l="1"/>
  <c r="M60" i="2"/>
  <c r="M61" i="2"/>
  <c r="M62" i="2" s="1"/>
  <c r="M50" i="2" l="1"/>
  <c r="N44" i="2"/>
  <c r="N43" i="2"/>
  <c r="N51" i="2" l="1"/>
  <c r="N59" i="2"/>
  <c r="N48" i="2"/>
  <c r="N47" i="2"/>
  <c r="N52" i="2" s="1"/>
  <c r="N53" i="2" s="1"/>
  <c r="N60" i="2" l="1"/>
  <c r="N49" i="2"/>
  <c r="N61" i="2"/>
  <c r="N62" i="2" s="1"/>
  <c r="N50" i="2" l="1"/>
  <c r="O44" i="2"/>
  <c r="O43" i="2"/>
  <c r="O51" i="2" l="1"/>
  <c r="O59" i="2"/>
  <c r="O48" i="2"/>
  <c r="O47" i="2"/>
  <c r="O52" i="2" s="1"/>
  <c r="O53" i="2" s="1"/>
  <c r="O60" i="2" l="1"/>
  <c r="O61" i="2"/>
  <c r="O62" i="2" s="1"/>
  <c r="O49" i="2"/>
  <c r="O50" i="2" l="1"/>
  <c r="P43" i="2"/>
  <c r="P44" i="2"/>
  <c r="P59" i="2" l="1"/>
  <c r="P48" i="2"/>
  <c r="P47" i="2"/>
  <c r="P52" i="2" s="1"/>
  <c r="P53" i="2" s="1"/>
  <c r="P51" i="2"/>
  <c r="P61" i="2" l="1"/>
  <c r="P62" i="2" s="1"/>
  <c r="P60" i="2"/>
  <c r="P49" i="2"/>
  <c r="P50" i="2" l="1"/>
  <c r="Q43" i="2"/>
  <c r="Q44" i="2"/>
  <c r="Q59" i="2" l="1"/>
  <c r="Q48" i="2"/>
  <c r="Q47" i="2"/>
  <c r="Q52" i="2" s="1"/>
  <c r="Q53" i="2" s="1"/>
  <c r="Q51" i="2"/>
  <c r="Q49" i="2" l="1"/>
  <c r="Q60" i="2"/>
  <c r="Q61" i="2"/>
  <c r="Q62" i="2" s="1"/>
  <c r="Q50" i="2" l="1"/>
  <c r="R43" i="2"/>
  <c r="R44" i="2"/>
  <c r="R59" i="2" l="1"/>
  <c r="R48" i="2"/>
  <c r="R47" i="2"/>
  <c r="R52" i="2" s="1"/>
  <c r="R53" i="2" s="1"/>
  <c r="R51" i="2"/>
  <c r="R61" i="2" l="1"/>
  <c r="R62" i="2" s="1"/>
  <c r="R60" i="2"/>
  <c r="R49" i="2"/>
  <c r="R50" i="2" l="1"/>
  <c r="S44" i="2"/>
  <c r="S43" i="2"/>
  <c r="S51" i="2" l="1"/>
  <c r="S59" i="2"/>
  <c r="S48" i="2"/>
  <c r="S47" i="2"/>
  <c r="S52" i="2" s="1"/>
  <c r="S53" i="2" s="1"/>
  <c r="S61" i="2" l="1"/>
  <c r="S62" i="2" s="1"/>
  <c r="S60" i="2"/>
  <c r="S49" i="2"/>
  <c r="S50" i="2" l="1"/>
  <c r="T44" i="2"/>
  <c r="T43" i="2"/>
  <c r="T51" i="2" l="1"/>
  <c r="T59" i="2"/>
  <c r="T48" i="2"/>
  <c r="T47" i="2"/>
  <c r="T52" i="2" s="1"/>
  <c r="T53" i="2" s="1"/>
  <c r="T61" i="2" l="1"/>
  <c r="T62" i="2" s="1"/>
  <c r="T49" i="2"/>
  <c r="T50" i="2" s="1"/>
  <c r="T6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Peter Aalen</author>
  </authors>
  <commentList>
    <comment ref="B14" authorId="0" shapeId="0" xr:uid="{00000000-0006-0000-0200-000001000000}">
      <text>
        <r>
          <rPr>
            <sz val="9"/>
            <color indexed="81"/>
            <rFont val="Tahoma"/>
            <family val="2"/>
          </rPr>
          <t xml:space="preserve">Defininert som: </t>
        </r>
        <r>
          <rPr>
            <i/>
            <sz val="9"/>
            <color indexed="81"/>
            <rFont val="Tahoma"/>
            <family val="2"/>
          </rPr>
          <t xml:space="preserve">Sum driftsinntekter (A/L12)
</t>
        </r>
      </text>
    </comment>
    <comment ref="B15" authorId="0" shapeId="0" xr:uid="{00000000-0006-0000-0200-000002000000}">
      <text>
        <r>
          <rPr>
            <sz val="9"/>
            <color indexed="81"/>
            <rFont val="Tahoma"/>
            <family val="2"/>
          </rPr>
          <t>Merk:</t>
        </r>
        <r>
          <rPr>
            <i/>
            <sz val="9"/>
            <color indexed="81"/>
            <rFont val="Tahoma"/>
            <family val="2"/>
          </rPr>
          <t xml:space="preserve"> Mottatte avdrag på utlån (L24) </t>
        </r>
        <r>
          <rPr>
            <sz val="9"/>
            <color indexed="81"/>
            <rFont val="Tahoma"/>
            <family val="2"/>
          </rPr>
          <t>og</t>
        </r>
        <r>
          <rPr>
            <i/>
            <sz val="9"/>
            <color indexed="81"/>
            <rFont val="Tahoma"/>
            <family val="2"/>
          </rPr>
          <t xml:space="preserve"> Gevinst finansielle instrumenter (L23) </t>
        </r>
        <r>
          <rPr>
            <sz val="9"/>
            <color indexed="81"/>
            <rFont val="Tahoma"/>
            <family val="2"/>
          </rPr>
          <t>er i modellen implisitt antatt å være lik null. Dette kommer av at det på lang sikt ikke er grunn til å anta at disse skal systematisk fravike fra null.</t>
        </r>
      </text>
    </comment>
    <comment ref="B16" authorId="0" shapeId="0" xr:uid="{00000000-0006-0000-0200-000003000000}">
      <text/>
    </comment>
    <comment ref="B17" authorId="0" shapeId="0" xr:uid="{00000000-0006-0000-0200-000004000000}">
      <text>
        <r>
          <rPr>
            <b/>
            <sz val="9"/>
            <color indexed="81"/>
            <rFont val="Tahoma"/>
            <family val="2"/>
          </rPr>
          <t xml:space="preserve">Definert som: </t>
        </r>
        <r>
          <rPr>
            <i/>
            <sz val="9"/>
            <color indexed="81"/>
            <rFont val="Tahoma"/>
            <family val="2"/>
          </rPr>
          <t xml:space="preserve">Renteutgifter, provisjoner og andre finansutgifter (L26) </t>
        </r>
        <r>
          <rPr>
            <sz val="9"/>
            <color indexed="81"/>
            <rFont val="Tahoma"/>
            <family val="2"/>
          </rPr>
          <t>i driftsregnskapet</t>
        </r>
      </text>
    </comment>
    <comment ref="B18" authorId="0" shapeId="0" xr:uid="{00000000-0006-0000-0200-000005000000}">
      <text>
        <r>
          <rPr>
            <b/>
            <sz val="9"/>
            <color indexed="81"/>
            <rFont val="Tahoma"/>
            <family val="2"/>
          </rPr>
          <t xml:space="preserve">Merk: </t>
        </r>
        <r>
          <rPr>
            <sz val="9"/>
            <color indexed="81"/>
            <rFont val="Tahoma"/>
            <family val="2"/>
          </rPr>
          <t xml:space="preserve">Modellen antar implisitt at Implisitt antagelse om at </t>
        </r>
        <r>
          <rPr>
            <i/>
            <sz val="9"/>
            <color indexed="81"/>
            <rFont val="Tahoma"/>
            <family val="2"/>
          </rPr>
          <t>Utlån (L29)</t>
        </r>
        <r>
          <rPr>
            <sz val="9"/>
            <color indexed="81"/>
            <rFont val="Tahoma"/>
            <family val="2"/>
          </rPr>
          <t xml:space="preserve"> og </t>
        </r>
        <r>
          <rPr>
            <i/>
            <sz val="9"/>
            <color indexed="81"/>
            <rFont val="Tahoma"/>
            <family val="2"/>
          </rPr>
          <t>Tap finansielle instrumenter (L23)</t>
        </r>
        <r>
          <rPr>
            <sz val="9"/>
            <color indexed="81"/>
            <rFont val="Tahoma"/>
            <family val="2"/>
          </rPr>
          <t xml:space="preserve"> er lik null.</t>
        </r>
      </text>
    </comment>
    <comment ref="B19" authorId="0" shapeId="0" xr:uid="{00000000-0006-0000-0200-000006000000}">
      <text>
        <r>
          <rPr>
            <b/>
            <sz val="9"/>
            <color indexed="81"/>
            <rFont val="Tahoma"/>
            <family val="2"/>
          </rPr>
          <t xml:space="preserve">Definert som: </t>
        </r>
        <r>
          <rPr>
            <i/>
            <sz val="9"/>
            <color indexed="81"/>
            <rFont val="Tahoma"/>
            <family val="2"/>
          </rPr>
          <t xml:space="preserve">Sum utgifter (B/L17) </t>
        </r>
        <r>
          <rPr>
            <sz val="9"/>
            <color indexed="81"/>
            <rFont val="Tahoma"/>
            <family val="2"/>
          </rPr>
          <t>i investeringsregnskapet.
Dette tallet må sees på som en langsiktig forventning. Dersom investeringer midlertidig vil være lavere forventes det at differansen settes av i investeringsfond og dersom de midlertidig er høyere forventes det at eksisterende investeringsfond benyttes. Dette for å kunne opprettholde en gjennomsnittlig fast investeringstakt.</t>
        </r>
      </text>
    </comment>
    <comment ref="B20" authorId="0" shapeId="0" xr:uid="{00000000-0006-0000-0200-000007000000}">
      <text>
        <r>
          <rPr>
            <b/>
            <sz val="9"/>
            <color indexed="81"/>
            <rFont val="Tahoma"/>
            <family val="2"/>
          </rPr>
          <t xml:space="preserve">Definert som: </t>
        </r>
        <r>
          <rPr>
            <i/>
            <sz val="9"/>
            <color indexed="81"/>
            <rFont val="Tahoma"/>
            <family val="2"/>
          </rPr>
          <t xml:space="preserve">Sum inntekter (investeringsregnskap L9)-Salg av driftsmidler og fast eiendom (L2) </t>
        </r>
        <r>
          <rPr>
            <sz val="9"/>
            <color indexed="81"/>
            <rFont val="Tahoma"/>
            <family val="2"/>
          </rPr>
          <t>i investeringsregnskapet</t>
        </r>
      </text>
    </comment>
    <comment ref="B21" authorId="0" shapeId="0" xr:uid="{00000000-0006-0000-0200-000008000000}">
      <text>
        <r>
          <rPr>
            <b/>
            <sz val="9"/>
            <color indexed="81"/>
            <rFont val="Tahoma"/>
            <family val="2"/>
          </rPr>
          <t xml:space="preserve">Definert som: </t>
        </r>
        <r>
          <rPr>
            <i/>
            <sz val="9"/>
            <color indexed="81"/>
            <rFont val="Tahoma"/>
            <family val="2"/>
          </rPr>
          <t>Regnskapsmessig merforbruk (2.5900 &amp; 5.5900)- Regnskapsmessig mindreforbruk (2.5950 &amp; 5.5950) i</t>
        </r>
        <r>
          <rPr>
            <sz val="9"/>
            <color indexed="81"/>
            <rFont val="Tahoma"/>
            <family val="2"/>
          </rPr>
          <t xml:space="preserve"> balanseregnskapet. Positive tall vil si merforbruk mens negative tall er mindreforbruk. Merforbruk fra forrige år antas å dekkes inn det påfølgende året.</t>
        </r>
      </text>
    </comment>
    <comment ref="B22" authorId="0" shapeId="0" xr:uid="{00000000-0006-0000-0200-000009000000}">
      <text>
        <r>
          <rPr>
            <b/>
            <sz val="9"/>
            <color indexed="81"/>
            <rFont val="Tahoma"/>
            <family val="2"/>
          </rPr>
          <t xml:space="preserve">Definert som: </t>
        </r>
        <r>
          <rPr>
            <i/>
            <sz val="9"/>
            <color indexed="81"/>
            <rFont val="Tahoma"/>
            <family val="2"/>
          </rPr>
          <t xml:space="preserve">Sum Omløpsmidler (B)- premieavvik (OM) (2.19 og 5.19) - konserninterne kortsiktige fordringer (2.14 og 5.14+kap.14 i lånefond) - konserninterne langsiktige fordringer (2.23 og 5.23+kap.23 i lånefond) + utlån (2.22 og 5.22+kap.22 i lånefond) + aksjer og andeler (AM) (2.21 og 5.21+kap.21 i lånefond). </t>
        </r>
        <r>
          <rPr>
            <sz val="9"/>
            <color indexed="81"/>
            <rFont val="Tahoma"/>
            <family val="2"/>
          </rPr>
          <t>Alle poster fra balanseregnskapet.</t>
        </r>
      </text>
    </comment>
    <comment ref="B23" authorId="0" shapeId="0" xr:uid="{00000000-0006-0000-0200-00000A000000}">
      <text>
        <r>
          <rPr>
            <b/>
            <sz val="9"/>
            <color indexed="81"/>
            <rFont val="Tahoma"/>
            <family val="2"/>
          </rPr>
          <t xml:space="preserve">Definert som: </t>
        </r>
        <r>
          <rPr>
            <i/>
            <sz val="9"/>
            <color indexed="81"/>
            <rFont val="Tahoma"/>
            <family val="2"/>
          </rPr>
          <t xml:space="preserve">Sum Langsiktig Gjeld (E) – Pensjonsforpliktelse (2.4 og 5.4) -Konsernintern langsiktig gjeld (2.47+5.47+kap 47 i lånefond)+Sum kortsiktig gjeld (F)-Premieavvik (2.39 og 5.29)-Konsernintern kortsiktig gjeld(2.33 og 5.33+kap.33 i lånefond). </t>
        </r>
        <r>
          <rPr>
            <sz val="9"/>
            <color indexed="81"/>
            <rFont val="Tahoma"/>
            <family val="2"/>
          </rPr>
          <t>Alle poster fra balanseregnskapet.</t>
        </r>
      </text>
    </comment>
    <comment ref="B50" authorId="0" shapeId="0" xr:uid="{00000000-0006-0000-0200-00000B000000}">
      <text>
        <r>
          <rPr>
            <sz val="9"/>
            <color indexed="81"/>
            <rFont val="Tahoma"/>
            <family val="2"/>
          </rPr>
          <t xml:space="preserve">Defininert som: </t>
        </r>
        <r>
          <rPr>
            <i/>
            <sz val="9"/>
            <color indexed="81"/>
            <rFont val="Tahoma"/>
            <family val="2"/>
          </rPr>
          <t xml:space="preserve">Sum driftsinntekter (A/L12)
</t>
        </r>
      </text>
    </comment>
    <comment ref="B51" authorId="0" shapeId="0" xr:uid="{00000000-0006-0000-0200-00000C000000}">
      <text>
        <r>
          <rPr>
            <sz val="9"/>
            <color indexed="81"/>
            <rFont val="Tahoma"/>
            <family val="2"/>
          </rPr>
          <t>Merk:</t>
        </r>
        <r>
          <rPr>
            <i/>
            <sz val="9"/>
            <color indexed="81"/>
            <rFont val="Tahoma"/>
            <family val="2"/>
          </rPr>
          <t xml:space="preserve"> Mottatte avdrag på utlån (L24) </t>
        </r>
        <r>
          <rPr>
            <sz val="9"/>
            <color indexed="81"/>
            <rFont val="Tahoma"/>
            <family val="2"/>
          </rPr>
          <t>og</t>
        </r>
        <r>
          <rPr>
            <i/>
            <sz val="9"/>
            <color indexed="81"/>
            <rFont val="Tahoma"/>
            <family val="2"/>
          </rPr>
          <t xml:space="preserve"> Gevinst finansielle instrumenter (L23) </t>
        </r>
        <r>
          <rPr>
            <sz val="9"/>
            <color indexed="81"/>
            <rFont val="Tahoma"/>
            <family val="2"/>
          </rPr>
          <t>er i modellen implisitt antatt å være lik null. Dette kommer av at det på lang sikt ikke er grunn til å anta at disse skal systematisk fravike fra null.</t>
        </r>
      </text>
    </comment>
    <comment ref="B52" authorId="0" shapeId="0" xr:uid="{00000000-0006-0000-0200-00000D000000}">
      <text/>
    </comment>
    <comment ref="B53" authorId="0" shapeId="0" xr:uid="{00000000-0006-0000-0200-00000E000000}">
      <text>
        <r>
          <rPr>
            <b/>
            <sz val="9"/>
            <color indexed="81"/>
            <rFont val="Tahoma"/>
            <family val="2"/>
          </rPr>
          <t xml:space="preserve">Definert som: </t>
        </r>
        <r>
          <rPr>
            <i/>
            <sz val="9"/>
            <color indexed="81"/>
            <rFont val="Tahoma"/>
            <family val="2"/>
          </rPr>
          <t xml:space="preserve">Renteutgifter, provisjoner og andre finansutgifter (L26) </t>
        </r>
        <r>
          <rPr>
            <sz val="9"/>
            <color indexed="81"/>
            <rFont val="Tahoma"/>
            <family val="2"/>
          </rPr>
          <t>i driftsregnskapet</t>
        </r>
      </text>
    </comment>
    <comment ref="B54" authorId="0" shapeId="0" xr:uid="{00000000-0006-0000-0200-00000F000000}">
      <text>
        <r>
          <rPr>
            <b/>
            <sz val="9"/>
            <color indexed="81"/>
            <rFont val="Tahoma"/>
            <family val="2"/>
          </rPr>
          <t xml:space="preserve">Merk: </t>
        </r>
        <r>
          <rPr>
            <sz val="9"/>
            <color indexed="81"/>
            <rFont val="Tahoma"/>
            <family val="2"/>
          </rPr>
          <t xml:space="preserve">Modellen antar implisitt at Implisitt antagelse om at </t>
        </r>
        <r>
          <rPr>
            <i/>
            <sz val="9"/>
            <color indexed="81"/>
            <rFont val="Tahoma"/>
            <family val="2"/>
          </rPr>
          <t>Utlån (L29)</t>
        </r>
        <r>
          <rPr>
            <sz val="9"/>
            <color indexed="81"/>
            <rFont val="Tahoma"/>
            <family val="2"/>
          </rPr>
          <t xml:space="preserve"> og </t>
        </r>
        <r>
          <rPr>
            <i/>
            <sz val="9"/>
            <color indexed="81"/>
            <rFont val="Tahoma"/>
            <family val="2"/>
          </rPr>
          <t>Tap finansielle instrumenter (L23)</t>
        </r>
        <r>
          <rPr>
            <sz val="9"/>
            <color indexed="81"/>
            <rFont val="Tahoma"/>
            <family val="2"/>
          </rPr>
          <t xml:space="preserve"> er lik null.</t>
        </r>
      </text>
    </comment>
    <comment ref="B55" authorId="0" shapeId="0" xr:uid="{00000000-0006-0000-0200-000010000000}">
      <text>
        <r>
          <rPr>
            <b/>
            <sz val="9"/>
            <color indexed="81"/>
            <rFont val="Tahoma"/>
            <family val="2"/>
          </rPr>
          <t xml:space="preserve">Definert som: </t>
        </r>
        <r>
          <rPr>
            <i/>
            <sz val="9"/>
            <color indexed="81"/>
            <rFont val="Tahoma"/>
            <family val="2"/>
          </rPr>
          <t xml:space="preserve">Sum utgifter (B/L17) </t>
        </r>
        <r>
          <rPr>
            <sz val="9"/>
            <color indexed="81"/>
            <rFont val="Tahoma"/>
            <family val="2"/>
          </rPr>
          <t>i investeringsregnskapet.
Dette tallet må sees på som en langsiktig forventning. Dersom investeringer midlertidig vil være lavere forventes det at differansen settes av i investeringsfond og dersom de midlertidig er høyere forventes det at eksisterende investeringsfond benyttes. Dette for å kunne opprettholde en gjennomsnittlig fast investeringstakt.</t>
        </r>
      </text>
    </comment>
    <comment ref="B56" authorId="0" shapeId="0" xr:uid="{00000000-0006-0000-0200-000011000000}">
      <text>
        <r>
          <rPr>
            <b/>
            <sz val="9"/>
            <color indexed="81"/>
            <rFont val="Tahoma"/>
            <family val="2"/>
          </rPr>
          <t xml:space="preserve">Definert som: </t>
        </r>
        <r>
          <rPr>
            <i/>
            <sz val="9"/>
            <color indexed="81"/>
            <rFont val="Tahoma"/>
            <family val="2"/>
          </rPr>
          <t xml:space="preserve">Sum inntekter (investeringsregnskap L9)-Salg av driftsmidler og fast eiendom (L2)-Bruk av lån </t>
        </r>
        <r>
          <rPr>
            <sz val="9"/>
            <color indexed="81"/>
            <rFont val="Tahoma"/>
            <family val="2"/>
          </rPr>
          <t>i investeringsregnskapet</t>
        </r>
      </text>
    </comment>
    <comment ref="B58" authorId="0" shapeId="0" xr:uid="{00000000-0006-0000-0200-000012000000}">
      <text>
        <r>
          <rPr>
            <b/>
            <sz val="9"/>
            <color indexed="81"/>
            <rFont val="Tahoma"/>
            <family val="2"/>
          </rPr>
          <t xml:space="preserve">Definert som: </t>
        </r>
        <r>
          <rPr>
            <i/>
            <sz val="9"/>
            <color indexed="81"/>
            <rFont val="Tahoma"/>
            <family val="2"/>
          </rPr>
          <t xml:space="preserve">Sum Omløpsmidler (B)- premieavvik (OM) (2.19 og 5.19) - konserninterne kortsiktige fordringer (2.14 og 5.14+kap.14 i lånefond) - konserninterne langsiktige fordringer (2.23 og 5.23+kap.23 i lånefond) + utlån (2.22 og 5.22+kap.22 i lånefond) + aksjer og andeler (AM) (2.21 og 5.21+kap.21 i lånefond). </t>
        </r>
        <r>
          <rPr>
            <sz val="9"/>
            <color indexed="81"/>
            <rFont val="Tahoma"/>
            <family val="2"/>
          </rPr>
          <t>Alle poster fra balanseregnskapet.</t>
        </r>
      </text>
    </comment>
    <comment ref="B59" authorId="0" shapeId="0" xr:uid="{00000000-0006-0000-0200-000013000000}">
      <text>
        <r>
          <rPr>
            <b/>
            <sz val="9"/>
            <color indexed="81"/>
            <rFont val="Tahoma"/>
            <family val="2"/>
          </rPr>
          <t xml:space="preserve">Definert som: </t>
        </r>
        <r>
          <rPr>
            <i/>
            <sz val="9"/>
            <color indexed="81"/>
            <rFont val="Tahoma"/>
            <family val="2"/>
          </rPr>
          <t xml:space="preserve">Sum Langsiktig Gjeld (E) – Pensjonsforpliktelse (2.4 og 5.4) -Konsernintern langsiktig gjeld (2.47+5.47+kap 47 i lånefond)+Sum kortsiktig gjeld (F)-Premieavvik (2.39 og 5.29)-Konsernintern kortsiktig gjeld(2.33 og 5.33+kap.33 i lånefond). </t>
        </r>
        <r>
          <rPr>
            <sz val="9"/>
            <color indexed="81"/>
            <rFont val="Tahoma"/>
            <family val="2"/>
          </rPr>
          <t>Alle poster fra balanseregnskapet.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Peter Aalen</author>
  </authors>
  <commentList>
    <comment ref="D10" authorId="0" shapeId="0" xr:uid="{00000000-0006-0000-0300-000001000000}">
      <text>
        <r>
          <rPr>
            <sz val="9"/>
            <color indexed="81"/>
            <rFont val="Tahoma"/>
            <family val="2"/>
          </rPr>
          <t xml:space="preserve">Modellen benytter det historiske snittet i kolonne D med mindre du legger inn et nytt prosenttall her. 
</t>
        </r>
        <r>
          <rPr>
            <b/>
            <sz val="9"/>
            <color indexed="81"/>
            <rFont val="Tahoma"/>
            <family val="2"/>
          </rPr>
          <t xml:space="preserve">Legg inn den justerte andelen, ikke avviket fra det historiske snittet. 
</t>
        </r>
        <r>
          <rPr>
            <sz val="9"/>
            <color indexed="81"/>
            <rFont val="Tahoma"/>
            <family val="2"/>
          </rPr>
          <t>I kolonne F til H vises tilsvarende tall for 2017 og gjennomsnitt for økonomiplanen (dersom du har lagt inn budsjetttall inputfanen) for din kommune, samt landsgjennomsnittet. Disse vises for å hjelpe deg med hva du bør legge inn som justert andel, men brukes ikke av modellen med mindre du skriver det inn i C10.</t>
        </r>
      </text>
    </comment>
    <comment ref="D11" authorId="0" shapeId="0" xr:uid="{00000000-0006-0000-0300-000002000000}">
      <text>
        <r>
          <rPr>
            <sz val="9"/>
            <color indexed="81"/>
            <rFont val="Tahoma"/>
            <family val="2"/>
          </rPr>
          <t xml:space="preserve">Modellen benytter det historiske snittet i kolonne D med mindre du legger inn et nytt prosenttall her. 
</t>
        </r>
        <r>
          <rPr>
            <b/>
            <sz val="9"/>
            <color indexed="81"/>
            <rFont val="Tahoma"/>
            <family val="2"/>
          </rPr>
          <t xml:space="preserve">Legg inn den justerte andelen, ikke avviket fra det historiske snittet. 
</t>
        </r>
        <r>
          <rPr>
            <sz val="9"/>
            <color indexed="81"/>
            <rFont val="Tahoma"/>
            <family val="2"/>
          </rPr>
          <t>I kolonne F til H vises tilsvarende tall for 2017 og gjennomsnitt for økonomiplanen (dersom du har lagt inn budsjetttall inputfanen) for din kommune, samt landsgjennomsnittet. Disse vises for å hjelpe deg med hva du bør legge inn som justert andel, men brukes ikke av modellen med mindre du skriver det inn i C11.</t>
        </r>
      </text>
    </comment>
    <comment ref="D12" authorId="0" shapeId="0" xr:uid="{00000000-0006-0000-0300-000003000000}">
      <text>
        <r>
          <rPr>
            <sz val="9"/>
            <color indexed="81"/>
            <rFont val="Tahoma"/>
            <family val="2"/>
          </rPr>
          <t xml:space="preserve">Modellen benytter det historiske snittet i kolonne D med mindre du legger inn et nytt prosenttall her. 
</t>
        </r>
        <r>
          <rPr>
            <b/>
            <sz val="9"/>
            <color indexed="81"/>
            <rFont val="Tahoma"/>
            <family val="2"/>
          </rPr>
          <t xml:space="preserve">Legg inn den justerte andelen, ikke avviket fra det historiske snittet. 
</t>
        </r>
        <r>
          <rPr>
            <sz val="9"/>
            <color indexed="81"/>
            <rFont val="Tahoma"/>
            <family val="2"/>
          </rPr>
          <t>I kolonne F til H vises tilsvarende tall for 2017 og gjennomsnitt for økonomiplanen (dersom du har lagt inn budsjetttall inputfanen) for din kommune, samt landsgjennomsnittet. Disse vises for å hjelpe deg med hva du bør legge inn som justert andel, men brukes ikke av modellen med mindre du skriver det inn i C12.</t>
        </r>
      </text>
    </comment>
    <comment ref="D13" authorId="0" shapeId="0" xr:uid="{00000000-0006-0000-0300-000004000000}">
      <text>
        <r>
          <rPr>
            <sz val="9"/>
            <color indexed="81"/>
            <rFont val="Tahoma"/>
            <family val="2"/>
          </rPr>
          <t xml:space="preserve">Modellen benytter det historiske snittet i kolonne D med mindre du legger inn et nytt prosenttall her. 
</t>
        </r>
        <r>
          <rPr>
            <b/>
            <sz val="9"/>
            <color indexed="81"/>
            <rFont val="Tahoma"/>
            <family val="2"/>
          </rPr>
          <t xml:space="preserve">Legg inn den justerte andelen, ikke avviket fra det historiske snittet. 
</t>
        </r>
        <r>
          <rPr>
            <sz val="9"/>
            <color indexed="81"/>
            <rFont val="Tahoma"/>
            <family val="2"/>
          </rPr>
          <t>I kolonne F til H vises tilsvarende tall for 2017 og gjennomsnitt for økonomiplanen (dersom du har lagt inn budsjetttall inputfanen) for din kommune, samt landsgjennomsnittet. Disse vises for å hjelpe deg med hva du bør legge inn som justert andel, men brukes ikke av modellen med mindre du skriver det inn i C13.</t>
        </r>
      </text>
    </comment>
    <comment ref="D14" authorId="0" shapeId="0" xr:uid="{00000000-0006-0000-0300-000005000000}">
      <text>
        <r>
          <rPr>
            <sz val="9"/>
            <color indexed="81"/>
            <rFont val="Tahoma"/>
            <family val="2"/>
          </rPr>
          <t xml:space="preserve">Modellen benytter det historiske snittet i kolonne D med mindre du legger inn et nytt prosenttall her. 
</t>
        </r>
        <r>
          <rPr>
            <b/>
            <sz val="9"/>
            <color indexed="81"/>
            <rFont val="Tahoma"/>
            <family val="2"/>
          </rPr>
          <t xml:space="preserve">Legg inn den justerte andelen, ikke avviket fra det historiske snittet. 
</t>
        </r>
        <r>
          <rPr>
            <sz val="9"/>
            <color indexed="81"/>
            <rFont val="Tahoma"/>
            <family val="2"/>
          </rPr>
          <t>I kolonne F til H vises tilsvarende tall for 2017 og gjennomsnitt for økonomiplanen (dersom du har lagt inn budsjetttall inputfanen) for din kommune, samt landsgjennomsnittet. Disse vises for å hjelpe deg med hva du bør legge inn som justert andel, men brukes ikke av modellen med mindre du skriver det inn i C14.</t>
        </r>
      </text>
    </comment>
    <comment ref="D15" authorId="0" shapeId="0" xr:uid="{00000000-0006-0000-0300-000006000000}">
      <text>
        <r>
          <rPr>
            <sz val="9"/>
            <color indexed="81"/>
            <rFont val="Tahoma"/>
            <family val="2"/>
          </rPr>
          <t xml:space="preserve">Modellen benytter det historiske snittet i kolonne D med mindre du legger inn et nytt prosenttall her. 
</t>
        </r>
        <r>
          <rPr>
            <b/>
            <sz val="9"/>
            <color indexed="81"/>
            <rFont val="Tahoma"/>
            <family val="2"/>
          </rPr>
          <t xml:space="preserve">Legg inn den justerte andelen, ikke avviket fra det historiske snittet. 
</t>
        </r>
        <r>
          <rPr>
            <sz val="9"/>
            <color indexed="81"/>
            <rFont val="Tahoma"/>
            <family val="2"/>
          </rPr>
          <t>I kolonne F til H vises tilsvarende tall for 2017 og gjennomsnitt for økonomiplanen (dersom du har lagt inn budsjetttall inputfanen) for din kommune. Disse vises for å hjelpe deg med hva du bør legge inn som justert andel, men brukes ikke av modellen med mindre du skriver det inn i C15.</t>
        </r>
      </text>
    </comment>
    <comment ref="D16" authorId="0" shapeId="0" xr:uid="{00000000-0006-0000-0300-000007000000}">
      <text>
        <r>
          <rPr>
            <sz val="9"/>
            <color indexed="81"/>
            <rFont val="Tahoma"/>
            <family val="2"/>
          </rPr>
          <t xml:space="preserve">Modellen benytter det historiske snittet i kolonne D med mindre du legger inn et nytt prosenttall her. 
</t>
        </r>
        <r>
          <rPr>
            <b/>
            <sz val="9"/>
            <color indexed="81"/>
            <rFont val="Tahoma"/>
            <family val="2"/>
          </rPr>
          <t xml:space="preserve">Legg inn den justerte andelen, ikke avviket fra det historiske snittet. 
</t>
        </r>
        <r>
          <rPr>
            <sz val="9"/>
            <color indexed="81"/>
            <rFont val="Tahoma"/>
            <family val="2"/>
          </rPr>
          <t>I kolonne F til H vises tilsvarende tall for 2017 og gjennomsnitt for økonomiplanen (dersom du har lagt inn budsjetttall inputfanen) for din kommune, samt landsgjennomsnittet. Disse vises for å hjelpe deg med hva du bør legge inn som justert andel, men brukes ikke av modellen med mindre du skriver det inn i C10.</t>
        </r>
      </text>
    </comment>
    <comment ref="D17" authorId="0" shapeId="0" xr:uid="{00000000-0006-0000-0300-000008000000}">
      <text>
        <r>
          <rPr>
            <sz val="9"/>
            <color indexed="81"/>
            <rFont val="Tahoma"/>
            <family val="2"/>
          </rPr>
          <t xml:space="preserve">Modellen benytter det historiske snittet i kolonne D med mindre du legger inn et nytt prosenttall her. 
</t>
        </r>
        <r>
          <rPr>
            <b/>
            <sz val="9"/>
            <color indexed="81"/>
            <rFont val="Tahoma"/>
            <family val="2"/>
          </rPr>
          <t xml:space="preserve">Legg inn den justerte andelen, ikke avviket fra det historiske snittet. 
</t>
        </r>
      </text>
    </comment>
    <comment ref="D18" authorId="0" shapeId="0" xr:uid="{00000000-0006-0000-0300-000009000000}">
      <text>
        <r>
          <rPr>
            <sz val="9"/>
            <color indexed="81"/>
            <rFont val="Tahoma"/>
            <family val="2"/>
          </rPr>
          <t xml:space="preserve">Modellen benytter gjeldsandelen 2017 i kolonne D med mindre du legger inn et nytt prosenttall her. </t>
        </r>
        <r>
          <rPr>
            <b/>
            <sz val="9"/>
            <color indexed="81"/>
            <rFont val="Tahoma"/>
            <family val="2"/>
          </rPr>
          <t>Legg inn gjeldsandelen du ønsker at kommunen din skal styre mot langsiktig, dersom det avviker fra gjeldsandelen kommunen hadde i 2017.</t>
        </r>
        <r>
          <rPr>
            <sz val="9"/>
            <color indexed="81"/>
            <rFont val="Tahoma"/>
            <family val="2"/>
          </rPr>
          <t xml:space="preserve">
</t>
        </r>
        <r>
          <rPr>
            <b/>
            <sz val="9"/>
            <color indexed="81"/>
            <rFont val="Tahoma"/>
            <family val="2"/>
          </rPr>
          <t xml:space="preserve">Legg inn den justerte andelen, ikke avviket fra gjeldsandelen i 2017. </t>
        </r>
      </text>
    </comment>
    <comment ref="D19" authorId="0" shapeId="0" xr:uid="{00000000-0006-0000-0300-00000A000000}">
      <text>
        <r>
          <rPr>
            <sz val="9"/>
            <color indexed="81"/>
            <rFont val="Tahoma"/>
            <family val="2"/>
          </rPr>
          <t xml:space="preserve">Det finnes ingen offentlig statistikk over langsiktige rentebindinger. Dersom din kommune har bundet renta langsiktig vil den være utsatt for mindre risiko enn modellen antar. Legg i så fall inn hvor stor andel av gjelda der renta er bundet lengre enn fire år. Juster gjerne også rentenivået i C15.
</t>
        </r>
        <r>
          <rPr>
            <b/>
            <sz val="9"/>
            <color indexed="81"/>
            <rFont val="Tahoma"/>
            <family val="2"/>
          </rPr>
          <t xml:space="preserve">Legg inn den justerte andelen, ikke avviket fra gjeldsandelen i 2017. </t>
        </r>
      </text>
    </comment>
  </commentList>
</comments>
</file>

<file path=xl/sharedStrings.xml><?xml version="1.0" encoding="utf-8"?>
<sst xmlns="http://schemas.openxmlformats.org/spreadsheetml/2006/main" count="621" uniqueCount="551">
  <si>
    <t>kommnr</t>
  </si>
  <si>
    <t>kommnavn</t>
  </si>
  <si>
    <t>a_avdrag</t>
  </si>
  <si>
    <t>a_inv</t>
  </si>
  <si>
    <t>a_inv_innt</t>
  </si>
  <si>
    <t>a_driutg</t>
  </si>
  <si>
    <t>avkastning_finansformue</t>
  </si>
  <si>
    <t>gjeld</t>
  </si>
  <si>
    <t>sum_drinnt_d</t>
  </si>
  <si>
    <t>renteinnt_utbytte_d</t>
  </si>
  <si>
    <t>finansformue</t>
  </si>
  <si>
    <t>akk_merforbruk</t>
  </si>
  <si>
    <t>renteeksp_gjeld</t>
  </si>
  <si>
    <t>skatt_inntf_natur</t>
  </si>
  <si>
    <t>andre_skatter_d</t>
  </si>
  <si>
    <t>andel_skatt</t>
  </si>
  <si>
    <t>dispfond_b</t>
  </si>
  <si>
    <t>Forventet rente</t>
  </si>
  <si>
    <t>Antagelser</t>
  </si>
  <si>
    <t>Kommunenr</t>
  </si>
  <si>
    <t>Renteutgifter</t>
  </si>
  <si>
    <t>Avdragsutgifter</t>
  </si>
  <si>
    <t>Rådata</t>
  </si>
  <si>
    <t>Avleda variabler til Nettodrires</t>
  </si>
  <si>
    <t>Avleda variabler Risiko</t>
  </si>
  <si>
    <t>Renteinntekter og utbytte</t>
  </si>
  <si>
    <t>Driftsinntekter</t>
  </si>
  <si>
    <t>Driftsutgifter</t>
  </si>
  <si>
    <t>Investeringer</t>
  </si>
  <si>
    <t>Investeringsinntekter</t>
  </si>
  <si>
    <t>Brutto låneopptak</t>
  </si>
  <si>
    <t>renteinnt_utbytte</t>
  </si>
  <si>
    <t>drinnt</t>
  </si>
  <si>
    <t>Gjeld</t>
  </si>
  <si>
    <t>Gjeldsandel</t>
  </si>
  <si>
    <t>Låneopptak ved kun fast gjeldsandel som begrensning</t>
  </si>
  <si>
    <t>Netto driftsresultat rom</t>
  </si>
  <si>
    <t>Minimum netto driftsresultat</t>
  </si>
  <si>
    <t>Risiko renteinntekt</t>
  </si>
  <si>
    <t>Risiko skatt under 90%</t>
  </si>
  <si>
    <t>Risiko skatt over 90%</t>
  </si>
  <si>
    <t>Risiko andre skatter</t>
  </si>
  <si>
    <t>År renteoppgang</t>
  </si>
  <si>
    <t>Renteøkning lån</t>
  </si>
  <si>
    <t>Renteøkning avkastning</t>
  </si>
  <si>
    <t>Skatt- og finansrisiko</t>
  </si>
  <si>
    <t>skatterisiko</t>
  </si>
  <si>
    <t>Renterisiko</t>
  </si>
  <si>
    <t>Risiko</t>
  </si>
  <si>
    <t>Minimum disposisjonsfond</t>
  </si>
  <si>
    <t>Dispfond</t>
  </si>
  <si>
    <t>Differanse disposisjonsfond</t>
  </si>
  <si>
    <t>Risikojustert minimumsnivå nettodriftsresultat</t>
  </si>
  <si>
    <t>År på bygge opp dispfond</t>
  </si>
  <si>
    <t>Kommunenummer: (tast inn her)</t>
  </si>
  <si>
    <t xml:space="preserve">Prognosemodell for anbefalt minimumsnivå på Netto driftsresultat </t>
  </si>
  <si>
    <t xml:space="preserve">Driftutgifter som andel av driftsinntekter og renteinntekter </t>
  </si>
  <si>
    <t>Investeringer som andel av driftsutgifter</t>
  </si>
  <si>
    <t>Avdrag som andel av gjeld</t>
  </si>
  <si>
    <t>Justerbare forutsetninger</t>
  </si>
  <si>
    <t>Siste fem år</t>
  </si>
  <si>
    <t>Siste år</t>
  </si>
  <si>
    <t>Forventet avkastning på finansformue</t>
  </si>
  <si>
    <t>Historiske gjennomsnitt</t>
  </si>
  <si>
    <t>Resultater</t>
  </si>
  <si>
    <t>Skjønnsmessig justering</t>
  </si>
  <si>
    <t>Input</t>
  </si>
  <si>
    <t>Renteinntekter, eieruttak og utbytte</t>
  </si>
  <si>
    <t>Renteutgifter, provisjoner og andre finansutgifter</t>
  </si>
  <si>
    <t>Invsesteringsinntekter</t>
  </si>
  <si>
    <t>Finansformue</t>
  </si>
  <si>
    <t>Akkumulert regnskapsmessig merforbruk</t>
  </si>
  <si>
    <t>renteutg_d</t>
  </si>
  <si>
    <t>avdragsutg_d</t>
  </si>
  <si>
    <t>investeringer</t>
  </si>
  <si>
    <t>inv_innt</t>
  </si>
  <si>
    <t>Differanse forventet NDR og risikojustertminimumsnivå for NDR</t>
  </si>
  <si>
    <t>Forventet netto driftsresultat ved stabil tjenesteproduksjon</t>
  </si>
  <si>
    <t>Investeringsinntekter som andel av investeringsutgifter</t>
  </si>
  <si>
    <t>Hentet fra</t>
  </si>
  <si>
    <t>Driftsregnskap (KOSTRA)</t>
  </si>
  <si>
    <t>Definisjon</t>
  </si>
  <si>
    <t xml:space="preserve">Sum driftsinntekter </t>
  </si>
  <si>
    <t>Renteinntekter, utbytte og eieruttak</t>
  </si>
  <si>
    <t>L22</t>
  </si>
  <si>
    <t>Sum driftsutgifter-Avskrivinger</t>
  </si>
  <si>
    <t>A</t>
  </si>
  <si>
    <t>B-L18</t>
  </si>
  <si>
    <t>L26</t>
  </si>
  <si>
    <t>L28</t>
  </si>
  <si>
    <t>Investeringsregnskap (KOSTRA)</t>
  </si>
  <si>
    <t>Sum utgifter</t>
  </si>
  <si>
    <t>B</t>
  </si>
  <si>
    <t>Balanseregnskap (KOSTRA)</t>
  </si>
  <si>
    <t>Regnskapsmessig merforbruk- Regnskapsmessig mindreforbruk</t>
  </si>
  <si>
    <t>(2.5900 &amp; 5.5900)-(2.5950 &amp; 5.5950)</t>
  </si>
  <si>
    <t>Definisjon - KOSTRA-arter</t>
  </si>
  <si>
    <t xml:space="preserve">Sum Omløpsmidler- premieavvik (OM) + utlån + aksjer og andeler (AM) </t>
  </si>
  <si>
    <t>Disposisjonsfond</t>
  </si>
  <si>
    <t>(2.56 og 5.56)</t>
  </si>
  <si>
    <t>Gjeld/(Driftsinntekter+Renteinntekter, eieruttak og utbytte)</t>
  </si>
  <si>
    <t>Modellkode</t>
  </si>
  <si>
    <t>X</t>
  </si>
  <si>
    <t>Y</t>
  </si>
  <si>
    <t>Z</t>
  </si>
  <si>
    <t>V</t>
  </si>
  <si>
    <t>W</t>
  </si>
  <si>
    <t>U</t>
  </si>
  <si>
    <t>R</t>
  </si>
  <si>
    <t>P</t>
  </si>
  <si>
    <t>Q</t>
  </si>
  <si>
    <t>S</t>
  </si>
  <si>
    <t>T</t>
  </si>
  <si>
    <t>S/(X+Y)</t>
  </si>
  <si>
    <t>Modellvariabel</t>
  </si>
  <si>
    <t>Historisk gjennomsnitt</t>
  </si>
  <si>
    <t>Z/(X+Y)</t>
  </si>
  <si>
    <t>U/Z</t>
  </si>
  <si>
    <t>Investeringsutgifter</t>
  </si>
  <si>
    <t>Basert på foreliggende økonomiplan</t>
  </si>
  <si>
    <t>P/U</t>
  </si>
  <si>
    <t>Investeringsinntekter/Investeringsutgifter</t>
  </si>
  <si>
    <t>W/S</t>
  </si>
  <si>
    <t>Avdragsutgifter/Gjeld</t>
  </si>
  <si>
    <t>X(i år)/X(året før)-1</t>
  </si>
  <si>
    <t>Driftsinntekter (et år)/Driftsutgifter (året før), forventning på lang sikt</t>
  </si>
  <si>
    <t>Basert på økonomiplan</t>
  </si>
  <si>
    <t>Referanse for utfylling av skjønnsmessig justering</t>
  </si>
  <si>
    <t>Gjeld som andel av driftsinntekter og renteinntekter</t>
  </si>
  <si>
    <t>Ikke relevant</t>
  </si>
  <si>
    <t>Årlig endring i gjeld andel av inntekter</t>
  </si>
  <si>
    <t>Om modellen</t>
  </si>
  <si>
    <t>Langsiktig minimumsnivå for netto driftsresultat</t>
  </si>
  <si>
    <t>Minimumsnivå for disposisjonsfond for å håndtere risiko</t>
  </si>
  <si>
    <t>Kortsiktig minimumsnivå for netto driftsresultat for å bygge opp disposisjonsfond</t>
  </si>
  <si>
    <t>Prognoser</t>
  </si>
  <si>
    <t>Driftsutgifter som andel av inntekter</t>
  </si>
  <si>
    <t>Disposisjonsfond som andel av driftsinntekter</t>
  </si>
  <si>
    <t>Investeringsinntekter som andel av inntekter</t>
  </si>
  <si>
    <t>Investeringsutgifter som andel av driftsutgifter</t>
  </si>
  <si>
    <t>Avdragsutgifter som andel av gjeld</t>
  </si>
  <si>
    <t>Forventet rente på gjeld</t>
  </si>
  <si>
    <t>Forventet rente default</t>
  </si>
  <si>
    <t>Renter på gjeld</t>
  </si>
  <si>
    <t>V/S</t>
  </si>
  <si>
    <t>Y/R</t>
  </si>
  <si>
    <t>Renteutgifter, provisjoner og andre finansutgifter/Gjeld</t>
  </si>
  <si>
    <t>Forventet neste år</t>
  </si>
  <si>
    <t>Min_netdrires19</t>
  </si>
  <si>
    <t>Netdrires_rom</t>
  </si>
  <si>
    <t>risikojust_min_netdrires</t>
  </si>
  <si>
    <t>Akkumulert merforbruk</t>
  </si>
  <si>
    <t>Renteinntekter, eieruttak og utbytte/Finansformue</t>
  </si>
  <si>
    <t>Forventet årlig realvekst i driftsinntekter på lang sikt</t>
  </si>
  <si>
    <t>Foventet langsiktig prisvekst i kommunesksektoren</t>
  </si>
  <si>
    <t>Kommunal deflator</t>
  </si>
  <si>
    <t>Forventet langsiktig kommunaldeflator</t>
  </si>
  <si>
    <t>Siste fire år</t>
  </si>
  <si>
    <t>Forventet langsiktig realvekst i driftsinntekter</t>
  </si>
  <si>
    <t>Forventet langsiktig kommunal deflator</t>
  </si>
  <si>
    <t>Forventet langsiktig realvekst i driftsinntekter default</t>
  </si>
  <si>
    <t>Forventet langsiktig vekst i driftsinntekter nominelt</t>
  </si>
  <si>
    <t>Gjeldsandel_faktisk</t>
  </si>
  <si>
    <t>gjeldsandel_mål</t>
  </si>
  <si>
    <t>Langsiktig forventning</t>
  </si>
  <si>
    <t>Sum Langsiktig Gjeld– Pensjonsforpliktelse-Konsernintern langsiktig gjeld</t>
  </si>
  <si>
    <t>E-(2.4 og 5.4)-2.47</t>
  </si>
  <si>
    <t>Avskrivinger i driftsregnskapet</t>
  </si>
  <si>
    <t>Driftsutgifter fratrukket avskrivinger</t>
  </si>
  <si>
    <t>Investeringsutgifter/Driftsutgifter fratrukket avskrivinger</t>
  </si>
  <si>
    <t>Landsgjennomsnitt</t>
  </si>
  <si>
    <t>Langsiktig ønsket gjeld som andel av drifts- og renteinntekter</t>
  </si>
  <si>
    <t>Andel rentebinding</t>
  </si>
  <si>
    <t>Andel rentebinding default</t>
  </si>
  <si>
    <t>Andel av gjeld med rente bundet fire år eller lengre</t>
  </si>
  <si>
    <t>B-(2.19 og 5.19) + (2.22 og 5.22+kap.22 i lånefond) +(2.21 og 5.21+kap.21 i lånefond)</t>
  </si>
  <si>
    <t>Akkumulert mindreforbruk</t>
  </si>
  <si>
    <t xml:space="preserve">                                               Prognosemodell for anbefalt minimumsnivå på Netto driftsresultat </t>
  </si>
  <si>
    <t xml:space="preserve">              Prognosemodell for anbefalt minimumsnivå på Netto driftsresultat </t>
  </si>
  <si>
    <t>Driftsutgifter fratrukket avskrivinger/ (Driftsinntekter+Renteinntekter, eieruttak og utbytte)</t>
  </si>
  <si>
    <t>Gjeld som andel av inntekter</t>
  </si>
  <si>
    <t>Forventet netto driftsresultat</t>
  </si>
  <si>
    <t>Budsjett 2021</t>
  </si>
  <si>
    <t>Budsjett 2022</t>
  </si>
  <si>
    <t>Budsjett 2023</t>
  </si>
  <si>
    <t>driutg</t>
  </si>
  <si>
    <t>Budsjett 2024</t>
  </si>
  <si>
    <t>OSLO</t>
  </si>
  <si>
    <t>EIGERSUND</t>
  </si>
  <si>
    <t>STAVANGER</t>
  </si>
  <si>
    <t>HAUGESUND</t>
  </si>
  <si>
    <t>SANDNES</t>
  </si>
  <si>
    <t>SOKNDAL</t>
  </si>
  <si>
    <t>LUND</t>
  </si>
  <si>
    <t>BJERKREIM</t>
  </si>
  <si>
    <t>HÅ</t>
  </si>
  <si>
    <t>KLEPP</t>
  </si>
  <si>
    <t>TIME</t>
  </si>
  <si>
    <t>GJESDAL</t>
  </si>
  <si>
    <t>SOLA</t>
  </si>
  <si>
    <t>RANDABERG</t>
  </si>
  <si>
    <t>STRAND</t>
  </si>
  <si>
    <t>HJELMELAND</t>
  </si>
  <si>
    <t>SULDAL</t>
  </si>
  <si>
    <t>SAUDA</t>
  </si>
  <si>
    <t>KVITSØY</t>
  </si>
  <si>
    <t>BOKN</t>
  </si>
  <si>
    <t>TYSVÆR</t>
  </si>
  <si>
    <t>KARMØY</t>
  </si>
  <si>
    <t>UTSIRA</t>
  </si>
  <si>
    <t>VINDAFJORD</t>
  </si>
  <si>
    <t>KRISTIANSUND</t>
  </si>
  <si>
    <t>MOLDE</t>
  </si>
  <si>
    <t>ÅLESUND</t>
  </si>
  <si>
    <t>VANYLVEN</t>
  </si>
  <si>
    <t>SANDE</t>
  </si>
  <si>
    <t>ULSTEIN</t>
  </si>
  <si>
    <t>HAREID</t>
  </si>
  <si>
    <t>ØRSTA</t>
  </si>
  <si>
    <t>STRANDA</t>
  </si>
  <si>
    <t>SYKKYLVEN</t>
  </si>
  <si>
    <t>SULA</t>
  </si>
  <si>
    <t>GISKE</t>
  </si>
  <si>
    <t>VESTNES</t>
  </si>
  <si>
    <t>RAUMA</t>
  </si>
  <si>
    <t>AUKRA</t>
  </si>
  <si>
    <t>AVERØY</t>
  </si>
  <si>
    <t>GJEMNES</t>
  </si>
  <si>
    <t>TINGVOLL</t>
  </si>
  <si>
    <t>SUNNDAL</t>
  </si>
  <si>
    <t>SURNADAL</t>
  </si>
  <si>
    <t>SMØLA</t>
  </si>
  <si>
    <t>AURE</t>
  </si>
  <si>
    <t>VOLDA</t>
  </si>
  <si>
    <t>FJORD</t>
  </si>
  <si>
    <t>HUSTADVIKA</t>
  </si>
  <si>
    <t>BODØ</t>
  </si>
  <si>
    <t>NARVIK</t>
  </si>
  <si>
    <t>BINDAL</t>
  </si>
  <si>
    <t>SØMNA</t>
  </si>
  <si>
    <t>VEGA</t>
  </si>
  <si>
    <t>VEVELSTAD</t>
  </si>
  <si>
    <t>HERØY (NORDLAND)</t>
  </si>
  <si>
    <t>ALSTAHAUG</t>
  </si>
  <si>
    <t>LEIRFJORD</t>
  </si>
  <si>
    <t>VEFSN</t>
  </si>
  <si>
    <t>GRANE</t>
  </si>
  <si>
    <t>HATTFJELLDAL</t>
  </si>
  <si>
    <t>DØNNA</t>
  </si>
  <si>
    <t>NESNA</t>
  </si>
  <si>
    <t>HEMNES</t>
  </si>
  <si>
    <t>RANA</t>
  </si>
  <si>
    <t>LURØY</t>
  </si>
  <si>
    <t>TRÆNA</t>
  </si>
  <si>
    <t>MELØY</t>
  </si>
  <si>
    <t>GILDESKÅL</t>
  </si>
  <si>
    <t>BEIARN</t>
  </si>
  <si>
    <t>SALTDAL</t>
  </si>
  <si>
    <t>FAUSKE - FUOSSKO</t>
  </si>
  <si>
    <t>SØRFOLD</t>
  </si>
  <si>
    <t>STEIGEN</t>
  </si>
  <si>
    <t>LØDINGEN</t>
  </si>
  <si>
    <t>EVENES</t>
  </si>
  <si>
    <t>RØST</t>
  </si>
  <si>
    <t>VÆRØY</t>
  </si>
  <si>
    <t>FLAKSTAD</t>
  </si>
  <si>
    <t>VESTVÅGØY</t>
  </si>
  <si>
    <t>VÅGAN</t>
  </si>
  <si>
    <t>HADSEL</t>
  </si>
  <si>
    <t>BØ</t>
  </si>
  <si>
    <t>ØKSNES</t>
  </si>
  <si>
    <t>SORTLAND</t>
  </si>
  <si>
    <t>ANDØY</t>
  </si>
  <si>
    <t>MOSKENES</t>
  </si>
  <si>
    <t>HAMARØY</t>
  </si>
  <si>
    <t>HALDEN</t>
  </si>
  <si>
    <t>MOSS</t>
  </si>
  <si>
    <t>SARPSBORG</t>
  </si>
  <si>
    <t>FREDRIKSTAD</t>
  </si>
  <si>
    <t>DRAMMEN</t>
  </si>
  <si>
    <t>KONGSBERG</t>
  </si>
  <si>
    <t>RINGERIKE</t>
  </si>
  <si>
    <t>HVALER</t>
  </si>
  <si>
    <t>AREMARK</t>
  </si>
  <si>
    <t>MARKER</t>
  </si>
  <si>
    <t>INDRE ØSTFOLD</t>
  </si>
  <si>
    <t>SKIPTVET</t>
  </si>
  <si>
    <t>RAKKESTAD</t>
  </si>
  <si>
    <t>RÅDE</t>
  </si>
  <si>
    <t>VESTBY</t>
  </si>
  <si>
    <t>NORDRE FOLLO</t>
  </si>
  <si>
    <t>ÅS</t>
  </si>
  <si>
    <t>FROGN</t>
  </si>
  <si>
    <t>NESODDEN</t>
  </si>
  <si>
    <t>BÆRUM</t>
  </si>
  <si>
    <t>ASKER</t>
  </si>
  <si>
    <t>AURSKOG-HØLAND</t>
  </si>
  <si>
    <t>RÆLINGEN</t>
  </si>
  <si>
    <t>ENEBAKK</t>
  </si>
  <si>
    <t>LØRENSKOG</t>
  </si>
  <si>
    <t>LILLESTRØM</t>
  </si>
  <si>
    <t>NITTEDAL</t>
  </si>
  <si>
    <t>GJERDRUM</t>
  </si>
  <si>
    <t>ULLENSAKER</t>
  </si>
  <si>
    <t>NES</t>
  </si>
  <si>
    <t>EIDSVOLL</t>
  </si>
  <si>
    <t>NANNESTAD</t>
  </si>
  <si>
    <t>HURDAL</t>
  </si>
  <si>
    <t>HOLE</t>
  </si>
  <si>
    <t>FLÅ</t>
  </si>
  <si>
    <t>NESBYEN</t>
  </si>
  <si>
    <t>GOL</t>
  </si>
  <si>
    <t>HEMSEDAL</t>
  </si>
  <si>
    <t>ÅL</t>
  </si>
  <si>
    <t>HOL</t>
  </si>
  <si>
    <t>SIGDAL</t>
  </si>
  <si>
    <t>KRØDSHERAD</t>
  </si>
  <si>
    <t>MODUM</t>
  </si>
  <si>
    <t>ØVRE EIKER</t>
  </si>
  <si>
    <t>LIER</t>
  </si>
  <si>
    <t>FLESBERG</t>
  </si>
  <si>
    <t>ROLLAG</t>
  </si>
  <si>
    <t>NORE OG UVDAL</t>
  </si>
  <si>
    <t>JEVNAKER</t>
  </si>
  <si>
    <t>LUNNER</t>
  </si>
  <si>
    <t>KONGSVINGER</t>
  </si>
  <si>
    <t>HAMAR</t>
  </si>
  <si>
    <t>LILLEHAMMER</t>
  </si>
  <si>
    <t>GJØVIK</t>
  </si>
  <si>
    <t>RINGSAKER</t>
  </si>
  <si>
    <t>LØTEN</t>
  </si>
  <si>
    <t>STANGE</t>
  </si>
  <si>
    <t>NORD-ODAL</t>
  </si>
  <si>
    <t>SØR-ODAL</t>
  </si>
  <si>
    <t>EIDSKOG</t>
  </si>
  <si>
    <t>GRUE</t>
  </si>
  <si>
    <t>ÅSNES</t>
  </si>
  <si>
    <t>ELVERUM</t>
  </si>
  <si>
    <t>TRYSIL</t>
  </si>
  <si>
    <t>ÅMOT</t>
  </si>
  <si>
    <t>STOR-ELVDAL</t>
  </si>
  <si>
    <t>RENDALEN</t>
  </si>
  <si>
    <t>ENGERDAL</t>
  </si>
  <si>
    <t>TOLGA</t>
  </si>
  <si>
    <t>TYNSET</t>
  </si>
  <si>
    <t>ALVDAL</t>
  </si>
  <si>
    <t>FOLLDAL</t>
  </si>
  <si>
    <t>DOVRE</t>
  </si>
  <si>
    <t>LESJA</t>
  </si>
  <si>
    <t>SKJÅK</t>
  </si>
  <si>
    <t>LOM</t>
  </si>
  <si>
    <t>VÅGÅ</t>
  </si>
  <si>
    <t>NORD-FRON</t>
  </si>
  <si>
    <t>SEL</t>
  </si>
  <si>
    <t>SØR-FRON</t>
  </si>
  <si>
    <t>RINGEBU</t>
  </si>
  <si>
    <t>ØYER</t>
  </si>
  <si>
    <t>GAUSDAL</t>
  </si>
  <si>
    <t>ØSTRE TOTEN</t>
  </si>
  <si>
    <t>VESTRE TOTEN</t>
  </si>
  <si>
    <t>GRAN</t>
  </si>
  <si>
    <t>SØNDRE LAND</t>
  </si>
  <si>
    <t>NORDRE LAND</t>
  </si>
  <si>
    <t>SØR-AURDAL</t>
  </si>
  <si>
    <t>ETNEDAL</t>
  </si>
  <si>
    <t>NORD-AURDAL</t>
  </si>
  <si>
    <t>VESTRE SLIDRE</t>
  </si>
  <si>
    <t>ØYSTRE SLIDRE</t>
  </si>
  <si>
    <t>VANG</t>
  </si>
  <si>
    <t>HORTEN</t>
  </si>
  <si>
    <t>HOLMESTRAND</t>
  </si>
  <si>
    <t>TØNSBERG</t>
  </si>
  <si>
    <t>SANDEFJORD</t>
  </si>
  <si>
    <t>LARVIK</t>
  </si>
  <si>
    <t>PORSGRUNN</t>
  </si>
  <si>
    <t>SKIEN</t>
  </si>
  <si>
    <t>NOTODDEN</t>
  </si>
  <si>
    <t>FÆRDER</t>
  </si>
  <si>
    <t>SILJAN</t>
  </si>
  <si>
    <t>BAMBLE</t>
  </si>
  <si>
    <t>KRAGERØ</t>
  </si>
  <si>
    <t>DRANGEDAL</t>
  </si>
  <si>
    <t>NOME</t>
  </si>
  <si>
    <t>MIDT-TELEMARK</t>
  </si>
  <si>
    <t>TINN</t>
  </si>
  <si>
    <t>HJARTDAL</t>
  </si>
  <si>
    <t>SELJORD</t>
  </si>
  <si>
    <t>KVITESEID</t>
  </si>
  <si>
    <t>NISSEDAL</t>
  </si>
  <si>
    <t>FYRESDAL</t>
  </si>
  <si>
    <t>TOKKE</t>
  </si>
  <si>
    <t>VINJE</t>
  </si>
  <si>
    <t>RISØR</t>
  </si>
  <si>
    <t>GRIMSTAD</t>
  </si>
  <si>
    <t>ARENDAL</t>
  </si>
  <si>
    <t>KRISTIANSAND</t>
  </si>
  <si>
    <t>LINDESNES</t>
  </si>
  <si>
    <t>FARSUND</t>
  </si>
  <si>
    <t>FLEKKEFJORD</t>
  </si>
  <si>
    <t>GJERSTAD</t>
  </si>
  <si>
    <t>VEGÅRSHEI</t>
  </si>
  <si>
    <t>TVEDESTRAND</t>
  </si>
  <si>
    <t>FROLAND</t>
  </si>
  <si>
    <t>LILLESAND</t>
  </si>
  <si>
    <t>BIRKENES</t>
  </si>
  <si>
    <t>ÅMLI</t>
  </si>
  <si>
    <t>IVELAND</t>
  </si>
  <si>
    <t>EVJE OG HORNNES</t>
  </si>
  <si>
    <t>BYGLAND</t>
  </si>
  <si>
    <t>VALLE</t>
  </si>
  <si>
    <t>BYKLE</t>
  </si>
  <si>
    <t>VENNESLA</t>
  </si>
  <si>
    <t>ÅSERAL</t>
  </si>
  <si>
    <t>LYNGDAL</t>
  </si>
  <si>
    <t>HÆGEBOSTAD</t>
  </si>
  <si>
    <t>KVINESDAL</t>
  </si>
  <si>
    <t>SIRDAL</t>
  </si>
  <si>
    <t>BERGEN</t>
  </si>
  <si>
    <t>KINN</t>
  </si>
  <si>
    <t>ETNE</t>
  </si>
  <si>
    <t>SVEIO</t>
  </si>
  <si>
    <t>BØMLO</t>
  </si>
  <si>
    <t>STORD</t>
  </si>
  <si>
    <t>FITJAR</t>
  </si>
  <si>
    <t>TYSNES</t>
  </si>
  <si>
    <t>KVINNHERAD</t>
  </si>
  <si>
    <t>ULLENSVANG</t>
  </si>
  <si>
    <t>EIDFJORD</t>
  </si>
  <si>
    <t>ULVIK</t>
  </si>
  <si>
    <t>VOSS</t>
  </si>
  <si>
    <t>KVAM</t>
  </si>
  <si>
    <t>SAMNANGER</t>
  </si>
  <si>
    <t>BJØRNAFJORDEN</t>
  </si>
  <si>
    <t>AUSTEVOLL</t>
  </si>
  <si>
    <t>ØYGARDEN</t>
  </si>
  <si>
    <t>ASKØY</t>
  </si>
  <si>
    <t>VAKSDAL</t>
  </si>
  <si>
    <t>MODALEN</t>
  </si>
  <si>
    <t>OSTERØY</t>
  </si>
  <si>
    <t>ALVER</t>
  </si>
  <si>
    <t>AUSTRHEIM</t>
  </si>
  <si>
    <t>FEDJE</t>
  </si>
  <si>
    <t>MASFJORDEN</t>
  </si>
  <si>
    <t>GULEN</t>
  </si>
  <si>
    <t>SOLUND</t>
  </si>
  <si>
    <t>HYLLESTAD</t>
  </si>
  <si>
    <t>HØYANGER</t>
  </si>
  <si>
    <t>VIK</t>
  </si>
  <si>
    <t>SOGNDAL</t>
  </si>
  <si>
    <t>AURLAND</t>
  </si>
  <si>
    <t>LÆRDAL</t>
  </si>
  <si>
    <t>ÅRDAL</t>
  </si>
  <si>
    <t>LUSTER</t>
  </si>
  <si>
    <t>ASKVOLL</t>
  </si>
  <si>
    <t>FJALER</t>
  </si>
  <si>
    <t>SUNNFJORD</t>
  </si>
  <si>
    <t>BREMANGER</t>
  </si>
  <si>
    <t>STAD</t>
  </si>
  <si>
    <t>GLOPPEN</t>
  </si>
  <si>
    <t>STRYN</t>
  </si>
  <si>
    <t>TRONDHEIM</t>
  </si>
  <si>
    <t>STEINKJER</t>
  </si>
  <si>
    <t>NAMSOS</t>
  </si>
  <si>
    <t>FRØYA</t>
  </si>
  <si>
    <t>OSEN</t>
  </si>
  <si>
    <t>OPPDAL</t>
  </si>
  <si>
    <t>RENNEBU</t>
  </si>
  <si>
    <t>RØROS</t>
  </si>
  <si>
    <t>HOLTÅLEN</t>
  </si>
  <si>
    <t>MIDTRE GAULDAL</t>
  </si>
  <si>
    <t>MELHUS</t>
  </si>
  <si>
    <t>SKAUN</t>
  </si>
  <si>
    <t>MALVIK</t>
  </si>
  <si>
    <t>SELBU</t>
  </si>
  <si>
    <t>TYDAL</t>
  </si>
  <si>
    <t>MERÅKER</t>
  </si>
  <si>
    <t>STJØRDAL</t>
  </si>
  <si>
    <t>FROSTA</t>
  </si>
  <si>
    <t>LEVANGER</t>
  </si>
  <si>
    <t>VERDAL</t>
  </si>
  <si>
    <t>SNÅSA</t>
  </si>
  <si>
    <t>LIERNE</t>
  </si>
  <si>
    <t>RØYRVIK</t>
  </si>
  <si>
    <t>NAMSSKOGAN</t>
  </si>
  <si>
    <t>GRONG</t>
  </si>
  <si>
    <t>HØYLANDET</t>
  </si>
  <si>
    <t>OVERHALLA</t>
  </si>
  <si>
    <t>FLATANGER</t>
  </si>
  <si>
    <t>LEKA</t>
  </si>
  <si>
    <t>INDERØY</t>
  </si>
  <si>
    <t>INDRE FOSEN</t>
  </si>
  <si>
    <t>HEIM</t>
  </si>
  <si>
    <t>HITRA</t>
  </si>
  <si>
    <t>ØRLAND</t>
  </si>
  <si>
    <t>ÅFJORD</t>
  </si>
  <si>
    <t>ORKLAND</t>
  </si>
  <si>
    <t>NÆRØYSUND</t>
  </si>
  <si>
    <t>RINDAL</t>
  </si>
  <si>
    <t>TROMSØ</t>
  </si>
  <si>
    <t>HARSTAD</t>
  </si>
  <si>
    <t>ALTA</t>
  </si>
  <si>
    <t>VARDØ</t>
  </si>
  <si>
    <t>VADSØ</t>
  </si>
  <si>
    <t>HAMMERFEST</t>
  </si>
  <si>
    <t>KVÆFJORD</t>
  </si>
  <si>
    <t>TJELDSUND</t>
  </si>
  <si>
    <t>IBESTAD</t>
  </si>
  <si>
    <t>GRATANGEN</t>
  </si>
  <si>
    <t>BARDU</t>
  </si>
  <si>
    <t>SALANGEN</t>
  </si>
  <si>
    <t>MÅLSELV</t>
  </si>
  <si>
    <t>SØRREISA</t>
  </si>
  <si>
    <t>DYRØY</t>
  </si>
  <si>
    <t>SENJA</t>
  </si>
  <si>
    <t>BALSFJORD</t>
  </si>
  <si>
    <t>KARLSØY</t>
  </si>
  <si>
    <t>LYNGEN</t>
  </si>
  <si>
    <t>SKJERVØY</t>
  </si>
  <si>
    <t>NORDREISA</t>
  </si>
  <si>
    <t>KVÆNANGEN</t>
  </si>
  <si>
    <t>LOPPA</t>
  </si>
  <si>
    <t>HASVIK</t>
  </si>
  <si>
    <t>MÅSØY</t>
  </si>
  <si>
    <t>NORDKAPP</t>
  </si>
  <si>
    <t>LEBESBY</t>
  </si>
  <si>
    <t>GAMVIK</t>
  </si>
  <si>
    <t>BERLEVÅG</t>
  </si>
  <si>
    <t>BÅTSFJORD</t>
  </si>
  <si>
    <t>SØR-VARANGER</t>
  </si>
  <si>
    <t>HERØY (MØRE OG ROMSDAL)</t>
  </si>
  <si>
    <t>BRØNNØY</t>
  </si>
  <si>
    <t>RØDØY</t>
  </si>
  <si>
    <t>VÅLER (ØSTFOLD)</t>
  </si>
  <si>
    <t>VÅLER (HEDMARK)</t>
  </si>
  <si>
    <t>OS</t>
  </si>
  <si>
    <t>LOABáK - LAVANGEN</t>
  </si>
  <si>
    <t>STORFJORD - OMASVUOTNA - OMASVUONO</t>
  </si>
  <si>
    <t>GáIVUOTNA - KÅFJORD - KAIVUONO</t>
  </si>
  <si>
    <t>GUOVDAGEAIDNU-KAUTOKEINO</t>
  </si>
  <si>
    <t>PORSANGER - PORSá?GU - PORSANKI </t>
  </si>
  <si>
    <t>KáRáSJOHKA-KARASJOK</t>
  </si>
  <si>
    <t>DEATNU-TANA</t>
  </si>
  <si>
    <t>UNJáRGA-NESSEBY</t>
  </si>
  <si>
    <t>Kostra 2020</t>
  </si>
  <si>
    <t>Budsjett 2025</t>
  </si>
  <si>
    <t>Siste 14 år</t>
  </si>
  <si>
    <t>Realvekst driftsinntekter</t>
  </si>
  <si>
    <t>Deflator</t>
  </si>
  <si>
    <t>Benyttet forutsetning</t>
  </si>
  <si>
    <t>Sum inntekter-Salg av driftsmidler og fast eiendom-Bruk av lån</t>
  </si>
  <si>
    <t>A-L2-Bruk av lån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</si>
</sst>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0\ %"/>
    <numFmt numFmtId="166" formatCode="0.000\ %"/>
    <numFmt numFmtId="167" formatCode="_-* #,##0_-;\-* #,##0_-;_-* &quot;-&quot;??_-;_-@_-"/>
    <numFmt numFmtId="168" formatCode="0.000000000000000\ %"/>
    <numFmt numFmtId="169" formatCode="_-* #,##0.00000_-;\-* #,##0.00000_-;_-* &quot;-&quot;?_-;_-@_-"/>
    <numFmt numFmtId="170" formatCode="0_ ;\-0\ "/>
  </numFmts>
  <fonts count="24">
    <font>
      <sz val="11"/>
      <name val="Calibri"/>
    </font>
    <font>
      <sz val="11"/>
      <name val="Calibri"/>
      <family val="2"/>
    </font>
    <font>
      <b/>
      <sz val="11"/>
      <name val="Calibri"/>
      <family val="2"/>
    </font>
    <font>
      <sz val="11"/>
      <name val="Calibri"/>
      <family val="2"/>
    </font>
    <font>
      <b/>
      <sz val="14"/>
      <color indexed="57"/>
      <name val="Arial"/>
      <family val="2"/>
    </font>
    <font>
      <b/>
      <sz val="13"/>
      <color indexed="18"/>
      <name val="Arial"/>
      <family val="2"/>
    </font>
    <font>
      <b/>
      <sz val="10"/>
      <color indexed="10"/>
      <name val="Arial"/>
      <family val="2"/>
    </font>
    <font>
      <sz val="10"/>
      <name val="Arial"/>
      <family val="2"/>
    </font>
    <font>
      <b/>
      <sz val="16"/>
      <color theme="0"/>
      <name val="Calibri"/>
      <family val="2"/>
    </font>
    <font>
      <b/>
      <sz val="11"/>
      <color theme="0"/>
      <name val="Calibri"/>
      <family val="2"/>
    </font>
    <font>
      <b/>
      <sz val="14"/>
      <color theme="0"/>
      <name val="Calibri"/>
      <family val="2"/>
    </font>
    <font>
      <b/>
      <sz val="14"/>
      <name val="Calibri"/>
      <family val="2"/>
    </font>
    <font>
      <b/>
      <sz val="11"/>
      <color rgb="FF000000"/>
      <name val="Calibri"/>
      <family val="2"/>
    </font>
    <font>
      <sz val="9"/>
      <color indexed="81"/>
      <name val="Tahoma"/>
      <family val="2"/>
    </font>
    <font>
      <b/>
      <sz val="9"/>
      <color indexed="81"/>
      <name val="Tahoma"/>
      <family val="2"/>
    </font>
    <font>
      <i/>
      <sz val="9"/>
      <color indexed="81"/>
      <name val="Tahoma"/>
      <family val="2"/>
    </font>
    <font>
      <sz val="11"/>
      <color rgb="FF000000"/>
      <name val="Calibri"/>
      <family val="2"/>
    </font>
    <font>
      <b/>
      <i/>
      <sz val="11"/>
      <name val="Calibri"/>
      <family val="2"/>
    </font>
    <font>
      <b/>
      <i/>
      <sz val="11"/>
      <color theme="0"/>
      <name val="Calibri"/>
      <family val="2"/>
    </font>
    <font>
      <i/>
      <sz val="11"/>
      <name val="Calibri"/>
      <family val="2"/>
    </font>
    <font>
      <b/>
      <i/>
      <sz val="18"/>
      <color theme="0"/>
      <name val="Calibri"/>
      <family val="2"/>
    </font>
    <font>
      <b/>
      <i/>
      <sz val="11"/>
      <color rgb="FF000000"/>
      <name val="Calibri"/>
      <family val="2"/>
    </font>
    <font>
      <b/>
      <sz val="14"/>
      <color rgb="FF000000"/>
      <name val="Calibri"/>
      <family val="2"/>
    </font>
    <font>
      <sz val="8"/>
      <name val="Calibri"/>
    </font>
  </fonts>
  <fills count="6">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5"/>
        <bgColor indexed="64"/>
      </patternFill>
    </fill>
    <fill>
      <patternFill patternType="solid">
        <fgColor rgb="FFFFFF00"/>
        <bgColor indexed="64"/>
      </patternFill>
    </fill>
  </fills>
  <borders count="22">
    <border>
      <left/>
      <right/>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89">
    <xf numFmtId="0" fontId="0" fillId="0" borderId="0" xfId="0"/>
    <xf numFmtId="165" fontId="0" fillId="0" borderId="0" xfId="2" applyNumberFormat="1" applyFont="1"/>
    <xf numFmtId="10" fontId="0" fillId="0" borderId="0" xfId="2" applyNumberFormat="1" applyFont="1"/>
    <xf numFmtId="166" fontId="0" fillId="0" borderId="0" xfId="2" applyNumberFormat="1" applyFont="1"/>
    <xf numFmtId="167" fontId="0" fillId="0" borderId="0" xfId="1" quotePrefix="1" applyNumberFormat="1" applyFont="1"/>
    <xf numFmtId="165" fontId="0" fillId="0" borderId="0" xfId="2" quotePrefix="1" applyNumberFormat="1" applyFont="1"/>
    <xf numFmtId="10" fontId="0" fillId="0" borderId="0" xfId="2" quotePrefix="1" applyNumberFormat="1" applyFont="1"/>
    <xf numFmtId="167" fontId="0" fillId="0" borderId="0" xfId="1" applyNumberFormat="1" applyFont="1"/>
    <xf numFmtId="0" fontId="2" fillId="0" borderId="0" xfId="0" applyFont="1"/>
    <xf numFmtId="0" fontId="3" fillId="0" borderId="0" xfId="0" applyFont="1"/>
    <xf numFmtId="10" fontId="0" fillId="0" borderId="0" xfId="0" applyNumberFormat="1"/>
    <xf numFmtId="0" fontId="0" fillId="2" borderId="0" xfId="0" applyFill="1"/>
    <xf numFmtId="0" fontId="6" fillId="2" borderId="0" xfId="0" applyFont="1" applyFill="1"/>
    <xf numFmtId="0" fontId="7" fillId="2" borderId="0" xfId="0" applyFont="1" applyFill="1"/>
    <xf numFmtId="0" fontId="4" fillId="2" borderId="0" xfId="0" applyFont="1" applyFill="1"/>
    <xf numFmtId="0" fontId="5" fillId="2" borderId="0" xfId="0" applyFont="1" applyFill="1"/>
    <xf numFmtId="0" fontId="8" fillId="3" borderId="0" xfId="0" applyFont="1" applyFill="1"/>
    <xf numFmtId="0" fontId="9" fillId="3" borderId="0" xfId="0" applyFont="1" applyFill="1"/>
    <xf numFmtId="0" fontId="8" fillId="3" borderId="1" xfId="0" applyFont="1" applyFill="1" applyBorder="1"/>
    <xf numFmtId="0" fontId="10" fillId="3" borderId="0" xfId="0" applyFont="1" applyFill="1"/>
    <xf numFmtId="0" fontId="8" fillId="3" borderId="3" xfId="0" applyFont="1" applyFill="1" applyBorder="1"/>
    <xf numFmtId="0" fontId="11" fillId="2" borderId="0" xfId="0" applyFont="1" applyFill="1"/>
    <xf numFmtId="165" fontId="0" fillId="4" borderId="0" xfId="2" applyNumberFormat="1" applyFont="1" applyFill="1"/>
    <xf numFmtId="0" fontId="9" fillId="3" borderId="4" xfId="0" applyFont="1" applyFill="1" applyBorder="1"/>
    <xf numFmtId="0" fontId="9" fillId="3" borderId="2" xfId="0" applyFont="1" applyFill="1" applyBorder="1"/>
    <xf numFmtId="0" fontId="9" fillId="3" borderId="3" xfId="0" applyFont="1" applyFill="1" applyBorder="1"/>
    <xf numFmtId="165" fontId="0" fillId="4" borderId="3" xfId="2" applyNumberFormat="1" applyFont="1" applyFill="1" applyBorder="1"/>
    <xf numFmtId="0" fontId="0" fillId="3" borderId="0" xfId="0" applyFill="1"/>
    <xf numFmtId="0" fontId="12" fillId="0" borderId="10" xfId="0" applyFont="1" applyBorder="1"/>
    <xf numFmtId="167" fontId="0" fillId="0" borderId="14" xfId="1" applyNumberFormat="1" applyFont="1" applyBorder="1"/>
    <xf numFmtId="167" fontId="3" fillId="0" borderId="14" xfId="1" applyNumberFormat="1" applyFont="1" applyBorder="1"/>
    <xf numFmtId="0" fontId="2" fillId="0" borderId="10" xfId="0" applyFont="1" applyBorder="1"/>
    <xf numFmtId="0" fontId="9" fillId="3" borderId="10" xfId="0" applyFont="1" applyFill="1" applyBorder="1"/>
    <xf numFmtId="0" fontId="8" fillId="3" borderId="16" xfId="0" applyFont="1" applyFill="1" applyBorder="1"/>
    <xf numFmtId="0" fontId="9" fillId="3" borderId="17" xfId="0" applyFont="1" applyFill="1" applyBorder="1"/>
    <xf numFmtId="0" fontId="9" fillId="3" borderId="18" xfId="0" applyFont="1" applyFill="1" applyBorder="1"/>
    <xf numFmtId="0" fontId="18" fillId="3" borderId="11" xfId="0" applyFont="1" applyFill="1" applyBorder="1"/>
    <xf numFmtId="0" fontId="9" fillId="3" borderId="12" xfId="0" applyFont="1" applyFill="1" applyBorder="1"/>
    <xf numFmtId="0" fontId="12" fillId="0" borderId="0" xfId="0" applyFont="1"/>
    <xf numFmtId="165" fontId="0" fillId="0" borderId="14" xfId="2" applyNumberFormat="1" applyFont="1" applyBorder="1"/>
    <xf numFmtId="0" fontId="19" fillId="3" borderId="0" xfId="0" applyFont="1" applyFill="1"/>
    <xf numFmtId="0" fontId="20" fillId="3" borderId="0" xfId="0" applyFont="1" applyFill="1"/>
    <xf numFmtId="0" fontId="21" fillId="0" borderId="8" xfId="0" applyFont="1" applyBorder="1"/>
    <xf numFmtId="0" fontId="21" fillId="0" borderId="9" xfId="0" applyFont="1" applyBorder="1"/>
    <xf numFmtId="0" fontId="21" fillId="0" borderId="9" xfId="0" applyFont="1" applyBorder="1" applyAlignment="1">
      <alignment wrapText="1"/>
    </xf>
    <xf numFmtId="0" fontId="19" fillId="0" borderId="13" xfId="0" applyFont="1" applyBorder="1"/>
    <xf numFmtId="0" fontId="16" fillId="0" borderId="0" xfId="0" applyFont="1"/>
    <xf numFmtId="0" fontId="16" fillId="0" borderId="0" xfId="0" applyFont="1" applyAlignment="1">
      <alignment wrapText="1"/>
    </xf>
    <xf numFmtId="165" fontId="12" fillId="0" borderId="0" xfId="2" applyNumberFormat="1" applyFont="1"/>
    <xf numFmtId="165" fontId="0" fillId="4" borderId="6" xfId="2" applyNumberFormat="1" applyFont="1" applyFill="1" applyBorder="1"/>
    <xf numFmtId="165" fontId="0" fillId="4" borderId="7" xfId="2" applyNumberFormat="1" applyFont="1" applyFill="1" applyBorder="1"/>
    <xf numFmtId="0" fontId="8" fillId="3" borderId="2" xfId="0" applyFont="1" applyFill="1" applyBorder="1"/>
    <xf numFmtId="0" fontId="9" fillId="3" borderId="10" xfId="0" applyFont="1" applyFill="1" applyBorder="1" applyAlignment="1">
      <alignment horizontal="left"/>
    </xf>
    <xf numFmtId="165" fontId="3" fillId="0" borderId="14" xfId="2" applyNumberFormat="1" applyFont="1" applyBorder="1"/>
    <xf numFmtId="0" fontId="9" fillId="3" borderId="0" xfId="0" applyFont="1" applyFill="1" applyAlignment="1">
      <alignment horizontal="left" wrapText="1"/>
    </xf>
    <xf numFmtId="0" fontId="12" fillId="0" borderId="19" xfId="0" applyFont="1" applyBorder="1"/>
    <xf numFmtId="165" fontId="0" fillId="0" borderId="0" xfId="0" applyNumberFormat="1"/>
    <xf numFmtId="165" fontId="3" fillId="0" borderId="0" xfId="2" applyNumberFormat="1" applyFont="1"/>
    <xf numFmtId="10" fontId="0" fillId="4" borderId="0" xfId="2" applyNumberFormat="1" applyFont="1" applyFill="1"/>
    <xf numFmtId="166" fontId="0" fillId="0" borderId="0" xfId="0" applyNumberFormat="1"/>
    <xf numFmtId="168" fontId="0" fillId="0" borderId="0" xfId="0" applyNumberFormat="1"/>
    <xf numFmtId="1" fontId="0" fillId="0" borderId="0" xfId="0" applyNumberFormat="1"/>
    <xf numFmtId="10" fontId="0" fillId="0" borderId="14" xfId="2" applyNumberFormat="1" applyFont="1" applyBorder="1"/>
    <xf numFmtId="165" fontId="2" fillId="2" borderId="14" xfId="2" applyNumberFormat="1" applyFont="1" applyFill="1" applyBorder="1"/>
    <xf numFmtId="165" fontId="2" fillId="2" borderId="14" xfId="2" applyNumberFormat="1" applyFont="1" applyFill="1" applyBorder="1" applyAlignment="1">
      <alignment horizontal="right"/>
    </xf>
    <xf numFmtId="165" fontId="17" fillId="2" borderId="15" xfId="2" applyNumberFormat="1" applyFont="1" applyFill="1" applyBorder="1"/>
    <xf numFmtId="0" fontId="18" fillId="3" borderId="0" xfId="0" applyFont="1" applyFill="1"/>
    <xf numFmtId="0" fontId="9" fillId="3" borderId="4" xfId="0" applyFont="1" applyFill="1" applyBorder="1" applyProtection="1">
      <protection locked="0"/>
    </xf>
    <xf numFmtId="0" fontId="9" fillId="3" borderId="0" xfId="0" applyFont="1" applyFill="1" applyProtection="1">
      <protection locked="0"/>
    </xf>
    <xf numFmtId="0" fontId="9" fillId="3" borderId="6" xfId="0" applyFont="1" applyFill="1" applyBorder="1" applyProtection="1">
      <protection locked="0"/>
    </xf>
    <xf numFmtId="9" fontId="0" fillId="0" borderId="0" xfId="2" quotePrefix="1" applyFont="1"/>
    <xf numFmtId="169" fontId="0" fillId="0" borderId="0" xfId="0" applyNumberFormat="1"/>
    <xf numFmtId="0" fontId="21" fillId="0" borderId="4" xfId="0" applyFont="1" applyBorder="1"/>
    <xf numFmtId="0" fontId="2" fillId="0" borderId="0" xfId="0" applyFont="1" applyAlignment="1">
      <alignment wrapText="1"/>
    </xf>
    <xf numFmtId="0" fontId="21" fillId="0" borderId="20" xfId="0" applyFont="1" applyBorder="1"/>
    <xf numFmtId="165" fontId="17" fillId="0" borderId="4" xfId="2" applyNumberFormat="1" applyFont="1" applyBorder="1"/>
    <xf numFmtId="165" fontId="2" fillId="0" borderId="21" xfId="2" applyNumberFormat="1" applyFont="1" applyBorder="1"/>
    <xf numFmtId="170" fontId="22" fillId="5" borderId="0" xfId="1" applyNumberFormat="1" applyFont="1" applyFill="1" applyProtection="1">
      <protection locked="0"/>
    </xf>
    <xf numFmtId="167" fontId="16" fillId="5" borderId="0" xfId="0" applyNumberFormat="1" applyFont="1" applyFill="1" applyProtection="1">
      <protection locked="0"/>
    </xf>
    <xf numFmtId="165" fontId="2" fillId="5" borderId="0" xfId="2" applyNumberFormat="1" applyFont="1" applyFill="1" applyProtection="1">
      <protection locked="0"/>
    </xf>
    <xf numFmtId="0" fontId="0" fillId="0" borderId="3" xfId="0" applyBorder="1"/>
    <xf numFmtId="1" fontId="3" fillId="0" borderId="0" xfId="0" applyNumberFormat="1" applyFont="1"/>
    <xf numFmtId="1" fontId="0" fillId="0" borderId="0" xfId="1" applyNumberFormat="1" applyFont="1"/>
    <xf numFmtId="0" fontId="1" fillId="0" borderId="0" xfId="0" applyFont="1"/>
    <xf numFmtId="0" fontId="9" fillId="3" borderId="10" xfId="0" applyFont="1" applyFill="1" applyBorder="1" applyAlignment="1">
      <alignment horizontal="left" wrapText="1"/>
    </xf>
    <xf numFmtId="0" fontId="9" fillId="3" borderId="0" xfId="0" applyFont="1" applyFill="1" applyAlignment="1">
      <alignment horizontal="left" wrapText="1"/>
    </xf>
    <xf numFmtId="165" fontId="2" fillId="2" borderId="14" xfId="2" applyNumberFormat="1" applyFont="1" applyFill="1" applyBorder="1" applyAlignment="1">
      <alignment horizontal="right"/>
    </xf>
    <xf numFmtId="0" fontId="9" fillId="3" borderId="4" xfId="0" applyFont="1" applyFill="1" applyBorder="1" applyAlignment="1" applyProtection="1">
      <alignment horizontal="center" wrapText="1"/>
      <protection locked="0"/>
    </xf>
    <xf numFmtId="0" fontId="9" fillId="3" borderId="5" xfId="0" applyFont="1" applyFill="1" applyBorder="1" applyAlignment="1" applyProtection="1">
      <alignment horizontal="center" wrapText="1"/>
      <protection locked="0"/>
    </xf>
  </cellXfs>
  <cellStyles count="3">
    <cellStyle name="Komma" xfId="1" builtinId="3"/>
    <cellStyle name="Normal" xfId="0" builtinId="0"/>
    <cellStyle name="Prosent" xfId="2" builtinId="5"/>
  </cellStyles>
  <dxfs count="1">
    <dxf>
      <font>
        <b/>
        <i/>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3"/>
          <c:order val="0"/>
          <c:tx>
            <c:strRef>
              <c:f>Prognoser!$D$40</c:f>
              <c:strCache>
                <c:ptCount val="1"/>
                <c:pt idx="0">
                  <c:v>Driftsinntekter</c:v>
                </c:pt>
              </c:strCache>
            </c:strRef>
          </c:tx>
          <c:marker>
            <c:symbol val="none"/>
          </c:marker>
          <c:cat>
            <c:numRef>
              <c:extLst>
                <c:ext xmlns:c15="http://schemas.microsoft.com/office/drawing/2012/chart" uri="{02D57815-91ED-43cb-92C2-25804820EDAC}">
                  <c15:fullRef>
                    <c15:sqref>Prognoser!$E$39:$T$39</c15:sqref>
                  </c15:fullRef>
                </c:ext>
              </c:extLst>
              <c:f>Prognoser!$F$39:$T$39</c:f>
              <c:numCache>
                <c:formatCode>General</c:formatCode>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numCache>
            </c:numRef>
          </c:cat>
          <c:val>
            <c:numRef>
              <c:extLst>
                <c:ext xmlns:c15="http://schemas.microsoft.com/office/drawing/2012/chart" uri="{02D57815-91ED-43cb-92C2-25804820EDAC}">
                  <c15:fullRef>
                    <c15:sqref>Prognoser!$E$40:$T$40</c15:sqref>
                  </c15:fullRef>
                </c:ext>
              </c:extLst>
              <c:f>Prognoser!$F$40:$T$40</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9-2EF7-4411-816E-D2E1A1713443}"/>
            </c:ext>
          </c:extLst>
        </c:ser>
        <c:ser>
          <c:idx val="4"/>
          <c:order val="1"/>
          <c:tx>
            <c:strRef>
              <c:f>Prognoser!$D$42</c:f>
              <c:strCache>
                <c:ptCount val="1"/>
                <c:pt idx="0">
                  <c:v>Driftsutgifter</c:v>
                </c:pt>
              </c:strCache>
            </c:strRef>
          </c:tx>
          <c:marker>
            <c:symbol val="none"/>
          </c:marker>
          <c:cat>
            <c:numRef>
              <c:extLst>
                <c:ext xmlns:c15="http://schemas.microsoft.com/office/drawing/2012/chart" uri="{02D57815-91ED-43cb-92C2-25804820EDAC}">
                  <c15:fullRef>
                    <c15:sqref>Prognoser!$E$39:$T$39</c15:sqref>
                  </c15:fullRef>
                </c:ext>
              </c:extLst>
              <c:f>Prognoser!$F$39:$T$39</c:f>
              <c:numCache>
                <c:formatCode>General</c:formatCode>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numCache>
            </c:numRef>
          </c:cat>
          <c:val>
            <c:numRef>
              <c:extLst>
                <c:ext xmlns:c15="http://schemas.microsoft.com/office/drawing/2012/chart" uri="{02D57815-91ED-43cb-92C2-25804820EDAC}">
                  <c15:fullRef>
                    <c15:sqref>Prognoser!$E$42:$T$42</c15:sqref>
                  </c15:fullRef>
                </c:ext>
              </c:extLst>
              <c:f>Prognoser!$F$42:$T$42</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A-2EF7-4411-816E-D2E1A1713443}"/>
            </c:ext>
          </c:extLst>
        </c:ser>
        <c:ser>
          <c:idx val="5"/>
          <c:order val="2"/>
          <c:tx>
            <c:strRef>
              <c:f>Prognoser!$D$49</c:f>
              <c:strCache>
                <c:ptCount val="1"/>
                <c:pt idx="0">
                  <c:v>Gjeld</c:v>
                </c:pt>
              </c:strCache>
            </c:strRef>
          </c:tx>
          <c:spPr>
            <a:ln>
              <a:solidFill>
                <a:schemeClr val="accent2"/>
              </a:solidFill>
            </a:ln>
          </c:spPr>
          <c:marker>
            <c:symbol val="none"/>
          </c:marker>
          <c:cat>
            <c:numRef>
              <c:extLst>
                <c:ext xmlns:c15="http://schemas.microsoft.com/office/drawing/2012/chart" uri="{02D57815-91ED-43cb-92C2-25804820EDAC}">
                  <c15:fullRef>
                    <c15:sqref>Prognoser!$E$39:$T$39</c15:sqref>
                  </c15:fullRef>
                </c:ext>
              </c:extLst>
              <c:f>Prognoser!$F$39:$T$39</c:f>
              <c:numCache>
                <c:formatCode>General</c:formatCode>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numCache>
            </c:numRef>
          </c:cat>
          <c:val>
            <c:numRef>
              <c:extLst>
                <c:ext xmlns:c15="http://schemas.microsoft.com/office/drawing/2012/chart" uri="{02D57815-91ED-43cb-92C2-25804820EDAC}">
                  <c15:fullRef>
                    <c15:sqref>Prognoser!$E$49:$T$49</c15:sqref>
                  </c15:fullRef>
                </c:ext>
              </c:extLst>
              <c:f>Prognoser!$F$49:$T$49</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B-2EF7-4411-816E-D2E1A1713443}"/>
            </c:ext>
          </c:extLst>
        </c:ser>
        <c:ser>
          <c:idx val="0"/>
          <c:order val="3"/>
          <c:tx>
            <c:strRef>
              <c:f>Prognoser!$D$60</c:f>
              <c:strCache>
                <c:ptCount val="1"/>
                <c:pt idx="0">
                  <c:v>Akkumulert merforbruk</c:v>
                </c:pt>
              </c:strCache>
            </c:strRef>
          </c:tx>
          <c:spPr>
            <a:ln>
              <a:solidFill>
                <a:srgbClr val="FF0000"/>
              </a:solidFill>
            </a:ln>
          </c:spPr>
          <c:marker>
            <c:symbol val="none"/>
          </c:marker>
          <c:cat>
            <c:strLit>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Prognoser!$E$60:$T$60</c15:sqref>
                  </c15:fullRef>
                </c:ext>
              </c:extLst>
              <c:f>Prognoser!$F$60:$T$60</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15-2EF7-4411-816E-D2E1A1713443}"/>
            </c:ext>
          </c:extLst>
        </c:ser>
        <c:ser>
          <c:idx val="1"/>
          <c:order val="4"/>
          <c:tx>
            <c:strRef>
              <c:f>Prognoser!$D$62</c:f>
              <c:strCache>
                <c:ptCount val="1"/>
                <c:pt idx="0">
                  <c:v>Akkumulert mindreforbruk</c:v>
                </c:pt>
              </c:strCache>
            </c:strRef>
          </c:tx>
          <c:spPr>
            <a:ln>
              <a:solidFill>
                <a:schemeClr val="accent6"/>
              </a:solidFill>
            </a:ln>
          </c:spPr>
          <c:marker>
            <c:symbol val="none"/>
          </c:marker>
          <c:cat>
            <c:strLit>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Prognoser!$E$62:$T$62</c15:sqref>
                  </c15:fullRef>
                </c:ext>
              </c:extLst>
              <c:f>Prognoser!$F$62:$T$62</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0-D892-476B-8A40-DC64BB5D5F0F}"/>
            </c:ext>
          </c:extLst>
        </c:ser>
        <c:dLbls>
          <c:showLegendKey val="0"/>
          <c:showVal val="0"/>
          <c:showCatName val="0"/>
          <c:showSerName val="0"/>
          <c:showPercent val="0"/>
          <c:showBubbleSize val="0"/>
        </c:dLbls>
        <c:smooth val="0"/>
        <c:axId val="475294832"/>
        <c:axId val="475292864"/>
      </c:lineChart>
      <c:catAx>
        <c:axId val="475294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475292864"/>
        <c:crosses val="autoZero"/>
        <c:auto val="1"/>
        <c:lblAlgn val="ctr"/>
        <c:lblOffset val="100"/>
        <c:noMultiLvlLbl val="0"/>
      </c:catAx>
      <c:valAx>
        <c:axId val="475292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nb-NO"/>
                  <a:t>mill. kr (nominelt)</a:t>
                </a:r>
              </a:p>
            </c:rich>
          </c:tx>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475294832"/>
        <c:crosses val="autoZero"/>
        <c:crossBetween val="between"/>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extLst/>
  </c:chart>
  <c:txPr>
    <a:bodyPr/>
    <a:lstStyle/>
    <a:p>
      <a:pPr>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Prognoser!$D$56</c:f>
              <c:strCache>
                <c:ptCount val="1"/>
                <c:pt idx="0">
                  <c:v>Driftsutgifter som andel av inntekter</c:v>
                </c:pt>
              </c:strCache>
            </c:strRef>
          </c:tx>
          <c:spPr>
            <a:ln w="28575" cap="rnd">
              <a:solidFill>
                <a:schemeClr val="accent1"/>
              </a:solidFill>
              <a:round/>
            </a:ln>
            <a:effectLst/>
          </c:spPr>
          <c:marker>
            <c:symbol val="none"/>
          </c:marker>
          <c:cat>
            <c:numRef>
              <c:extLst>
                <c:ext xmlns:c15="http://schemas.microsoft.com/office/drawing/2012/chart" uri="{02D57815-91ED-43cb-92C2-25804820EDAC}">
                  <c15:fullRef>
                    <c15:sqref>Prognoser!$E$39:$T$39</c15:sqref>
                  </c15:fullRef>
                </c:ext>
              </c:extLst>
              <c:f>Prognoser!$F$39:$T$39</c:f>
              <c:numCache>
                <c:formatCode>General</c:formatCode>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numCache>
            </c:numRef>
          </c:cat>
          <c:val>
            <c:numRef>
              <c:extLst>
                <c:ext xmlns:c15="http://schemas.microsoft.com/office/drawing/2012/chart" uri="{02D57815-91ED-43cb-92C2-25804820EDAC}">
                  <c15:fullRef>
                    <c15:sqref>Prognoser!$E$56:$T$56</c15:sqref>
                  </c15:fullRef>
                </c:ext>
              </c:extLst>
              <c:f>Prognoser!$F$56:$T$56</c:f>
              <c:numCache>
                <c:formatCode>0.0\ %</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0-357E-4F48-B5C5-E5D3F92D2685}"/>
            </c:ext>
          </c:extLst>
        </c:ser>
        <c:ser>
          <c:idx val="3"/>
          <c:order val="1"/>
          <c:tx>
            <c:strRef>
              <c:f>Prognoser!$D$50</c:f>
              <c:strCache>
                <c:ptCount val="1"/>
                <c:pt idx="0">
                  <c:v>Gjeld som andel av inntekter</c:v>
                </c:pt>
              </c:strCache>
            </c:strRef>
          </c:tx>
          <c:spPr>
            <a:ln w="28575" cap="rnd">
              <a:solidFill>
                <a:schemeClr val="accent4"/>
              </a:solidFill>
              <a:round/>
            </a:ln>
            <a:effectLst/>
          </c:spPr>
          <c:marker>
            <c:symbol val="none"/>
          </c:marker>
          <c:cat>
            <c:strLit>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Prognoser!$E$50:$T$50</c15:sqref>
                  </c15:fullRef>
                </c:ext>
              </c:extLst>
              <c:f>Prognoser!$F$50:$T$50</c:f>
              <c:numCache>
                <c:formatCode>0.0\ %</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3-357E-4F48-B5C5-E5D3F92D2685}"/>
            </c:ext>
          </c:extLst>
        </c:ser>
        <c:ser>
          <c:idx val="1"/>
          <c:order val="2"/>
          <c:tx>
            <c:strRef>
              <c:f>Prognoser!$D$58</c:f>
              <c:strCache>
                <c:ptCount val="1"/>
                <c:pt idx="0">
                  <c:v>Investeringsutgifter som andel av driftsutgifter</c:v>
                </c:pt>
              </c:strCache>
            </c:strRef>
          </c:tx>
          <c:spPr>
            <a:ln w="28575" cap="rnd">
              <a:solidFill>
                <a:schemeClr val="accent2"/>
              </a:solidFill>
              <a:round/>
            </a:ln>
            <a:effectLst/>
          </c:spPr>
          <c:marker>
            <c:symbol val="none"/>
          </c:marker>
          <c:cat>
            <c:strLit>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Prognoser!$E$58:$T$58</c15:sqref>
                  </c15:fullRef>
                </c:ext>
              </c:extLst>
              <c:f>Prognoser!$F$58:$T$58</c:f>
              <c:numCache>
                <c:formatCode>0.0\ %</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4-357E-4F48-B5C5-E5D3F92D2685}"/>
            </c:ext>
          </c:extLst>
        </c:ser>
        <c:ser>
          <c:idx val="2"/>
          <c:order val="3"/>
          <c:tx>
            <c:strRef>
              <c:f>Prognoser!$D$57</c:f>
              <c:strCache>
                <c:ptCount val="1"/>
                <c:pt idx="0">
                  <c:v>Investeringsinntekter som andel av inntekter</c:v>
                </c:pt>
              </c:strCache>
            </c:strRef>
          </c:tx>
          <c:spPr>
            <a:ln w="28575" cap="rnd">
              <a:solidFill>
                <a:schemeClr val="accent3"/>
              </a:solidFill>
              <a:round/>
            </a:ln>
            <a:effectLst/>
          </c:spPr>
          <c:marker>
            <c:symbol val="none"/>
          </c:marker>
          <c:cat>
            <c:strLit>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Prognoser!$E$57:$T$57</c15:sqref>
                  </c15:fullRef>
                </c:ext>
              </c:extLst>
              <c:f>Prognoser!$F$57:$T$57</c:f>
              <c:numCache>
                <c:formatCode>0.0\ %</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5-357E-4F48-B5C5-E5D3F92D2685}"/>
            </c:ext>
          </c:extLst>
        </c:ser>
        <c:dLbls>
          <c:showLegendKey val="0"/>
          <c:showVal val="0"/>
          <c:showCatName val="0"/>
          <c:showSerName val="0"/>
          <c:showPercent val="0"/>
          <c:showBubbleSize val="0"/>
        </c:dLbls>
        <c:smooth val="0"/>
        <c:axId val="475294832"/>
        <c:axId val="475292864"/>
      </c:lineChart>
      <c:catAx>
        <c:axId val="475294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475292864"/>
        <c:crosses val="autoZero"/>
        <c:auto val="1"/>
        <c:lblAlgn val="ctr"/>
        <c:lblOffset val="100"/>
        <c:noMultiLvlLbl val="0"/>
      </c:catAx>
      <c:valAx>
        <c:axId val="475292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475294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3"/>
          <c:order val="0"/>
          <c:tx>
            <c:strRef>
              <c:f>Prognoser!$D$45</c:f>
              <c:strCache>
                <c:ptCount val="1"/>
                <c:pt idx="0">
                  <c:v>Investeringer</c:v>
                </c:pt>
              </c:strCache>
            </c:strRef>
          </c:tx>
          <c:marker>
            <c:symbol val="none"/>
          </c:marker>
          <c:cat>
            <c:numRef>
              <c:extLst>
                <c:ext xmlns:c15="http://schemas.microsoft.com/office/drawing/2012/chart" uri="{02D57815-91ED-43cb-92C2-25804820EDAC}">
                  <c15:fullRef>
                    <c15:sqref>Prognoser!$E$39:$T$39</c15:sqref>
                  </c15:fullRef>
                </c:ext>
              </c:extLst>
              <c:f>Prognoser!$F$39:$T$39</c:f>
              <c:numCache>
                <c:formatCode>General</c:formatCode>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numCache>
            </c:numRef>
          </c:cat>
          <c:val>
            <c:numRef>
              <c:extLst>
                <c:ext xmlns:c15="http://schemas.microsoft.com/office/drawing/2012/chart" uri="{02D57815-91ED-43cb-92C2-25804820EDAC}">
                  <c15:fullRef>
                    <c15:sqref>Prognoser!$E$45:$T$45</c15:sqref>
                  </c15:fullRef>
                </c:ext>
              </c:extLst>
              <c:f>Prognoser!$F$45:$T$45</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0-0402-4160-88E8-00D18AF8F3D1}"/>
            </c:ext>
          </c:extLst>
        </c:ser>
        <c:ser>
          <c:idx val="4"/>
          <c:order val="1"/>
          <c:tx>
            <c:strRef>
              <c:f>Prognoser!$D$46</c:f>
              <c:strCache>
                <c:ptCount val="1"/>
                <c:pt idx="0">
                  <c:v>Investeringsinntekter</c:v>
                </c:pt>
              </c:strCache>
            </c:strRef>
          </c:tx>
          <c:marker>
            <c:symbol val="none"/>
          </c:marker>
          <c:cat>
            <c:numRef>
              <c:extLst>
                <c:ext xmlns:c15="http://schemas.microsoft.com/office/drawing/2012/chart" uri="{02D57815-91ED-43cb-92C2-25804820EDAC}">
                  <c15:fullRef>
                    <c15:sqref>Prognoser!$E$39:$T$39</c15:sqref>
                  </c15:fullRef>
                </c:ext>
              </c:extLst>
              <c:f>Prognoser!$F$39:$T$39</c:f>
              <c:numCache>
                <c:formatCode>General</c:formatCode>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numCache>
            </c:numRef>
          </c:cat>
          <c:val>
            <c:numRef>
              <c:extLst>
                <c:ext xmlns:c15="http://schemas.microsoft.com/office/drawing/2012/chart" uri="{02D57815-91ED-43cb-92C2-25804820EDAC}">
                  <c15:fullRef>
                    <c15:sqref>Prognoser!$E$46:$T$46</c15:sqref>
                  </c15:fullRef>
                </c:ext>
              </c:extLst>
              <c:f>Prognoser!$F$46:$T$46</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1-0402-4160-88E8-00D18AF8F3D1}"/>
            </c:ext>
          </c:extLst>
        </c:ser>
        <c:ser>
          <c:idx val="5"/>
          <c:order val="2"/>
          <c:tx>
            <c:strRef>
              <c:f>Prognoser!$D$44</c:f>
              <c:strCache>
                <c:ptCount val="1"/>
                <c:pt idx="0">
                  <c:v>Avdragsutgifter</c:v>
                </c:pt>
              </c:strCache>
            </c:strRef>
          </c:tx>
          <c:marker>
            <c:symbol val="none"/>
          </c:marker>
          <c:cat>
            <c:numRef>
              <c:extLst>
                <c:ext xmlns:c15="http://schemas.microsoft.com/office/drawing/2012/chart" uri="{02D57815-91ED-43cb-92C2-25804820EDAC}">
                  <c15:fullRef>
                    <c15:sqref>Prognoser!$E$39:$T$39</c15:sqref>
                  </c15:fullRef>
                </c:ext>
              </c:extLst>
              <c:f>Prognoser!$F$39:$T$39</c:f>
              <c:numCache>
                <c:formatCode>General</c:formatCode>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numCache>
            </c:numRef>
          </c:cat>
          <c:val>
            <c:numRef>
              <c:extLst>
                <c:ext xmlns:c15="http://schemas.microsoft.com/office/drawing/2012/chart" uri="{02D57815-91ED-43cb-92C2-25804820EDAC}">
                  <c15:fullRef>
                    <c15:sqref>Prognoser!$E$44:$T$44</c15:sqref>
                  </c15:fullRef>
                </c:ext>
              </c:extLst>
              <c:f>Prognoser!$F$44:$T$44</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2-0402-4160-88E8-00D18AF8F3D1}"/>
            </c:ext>
          </c:extLst>
        </c:ser>
        <c:ser>
          <c:idx val="0"/>
          <c:order val="3"/>
          <c:tx>
            <c:strRef>
              <c:f>Prognoser!$D$43</c:f>
              <c:strCache>
                <c:ptCount val="1"/>
                <c:pt idx="0">
                  <c:v>Renteutgifter</c:v>
                </c:pt>
              </c:strCache>
            </c:strRef>
          </c:tx>
          <c:marker>
            <c:symbol val="none"/>
          </c:marker>
          <c:cat>
            <c:strLit>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Prognoser!$E$43:$T$43</c15:sqref>
                  </c15:fullRef>
                </c:ext>
              </c:extLst>
              <c:f>Prognoser!$F$43:$T$43</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3-0402-4160-88E8-00D18AF8F3D1}"/>
            </c:ext>
          </c:extLst>
        </c:ser>
        <c:ser>
          <c:idx val="1"/>
          <c:order val="4"/>
          <c:tx>
            <c:strRef>
              <c:f>Prognoser!$D$47</c:f>
              <c:strCache>
                <c:ptCount val="1"/>
                <c:pt idx="0">
                  <c:v>Brutto låneopptak</c:v>
                </c:pt>
              </c:strCache>
            </c:strRef>
          </c:tx>
          <c:marker>
            <c:symbol val="none"/>
          </c:marker>
          <c:cat>
            <c:strLit>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Prognoser!$E$47:$T$47</c15:sqref>
                  </c15:fullRef>
                </c:ext>
              </c:extLst>
              <c:f>Prognoser!$F$47:$T$47</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5-0402-4160-88E8-00D18AF8F3D1}"/>
            </c:ext>
          </c:extLst>
        </c:ser>
        <c:ser>
          <c:idx val="6"/>
          <c:order val="6"/>
          <c:tx>
            <c:strRef>
              <c:f>Prognoser!$D$54</c:f>
              <c:strCache>
                <c:ptCount val="1"/>
                <c:pt idx="0">
                  <c:v>Disposisjonsfond</c:v>
                </c:pt>
              </c:strCache>
            </c:strRef>
          </c:tx>
          <c:marker>
            <c:symbol val="none"/>
          </c:marker>
          <c:cat>
            <c:strLit>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Prognoser!$E$54:$T$54</c15:sqref>
                  </c15:fullRef>
                </c:ext>
              </c:extLst>
              <c:f>Prognoser!$F$54:$T$54</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0-B09F-4B67-A1A9-5B3AFB6E1B03}"/>
            </c:ext>
          </c:extLst>
        </c:ser>
        <c:dLbls>
          <c:showLegendKey val="0"/>
          <c:showVal val="0"/>
          <c:showCatName val="0"/>
          <c:showSerName val="0"/>
          <c:showPercent val="0"/>
          <c:showBubbleSize val="0"/>
        </c:dLbls>
        <c:smooth val="0"/>
        <c:axId val="475294832"/>
        <c:axId val="475292864"/>
        <c:extLst>
          <c:ext xmlns:c15="http://schemas.microsoft.com/office/drawing/2012/chart" uri="{02D57815-91ED-43cb-92C2-25804820EDAC}">
            <c15:filteredLineSeries>
              <c15:ser>
                <c:idx val="2"/>
                <c:order val="5"/>
                <c:tx>
                  <c:strRef>
                    <c:extLst>
                      <c:ext uri="{02D57815-91ED-43cb-92C2-25804820EDAC}">
                        <c15:formulaRef>
                          <c15:sqref>Prognoser!$D$60</c15:sqref>
                        </c15:formulaRef>
                      </c:ext>
                    </c:extLst>
                    <c:strCache>
                      <c:ptCount val="1"/>
                      <c:pt idx="0">
                        <c:v>Akkumulert merforbruk</c:v>
                      </c:pt>
                    </c:strCache>
                  </c:strRef>
                </c:tx>
                <c:spPr>
                  <a:ln>
                    <a:solidFill>
                      <a:srgbClr val="FF0000"/>
                    </a:solidFill>
                  </a:ln>
                </c:spPr>
                <c:marker>
                  <c:symbol val="none"/>
                </c:marker>
                <c:val>
                  <c:numRef>
                    <c:extLst>
                      <c:ext uri="{02D57815-91ED-43cb-92C2-25804820EDAC}">
                        <c15:fullRef>
                          <c15:sqref>Prognoser!$E$60:$T$60</c15:sqref>
                        </c15:fullRef>
                        <c15:formulaRef>
                          <c15:sqref>Prognoser!$F$60:$T$60</c15:sqref>
                        </c15:formulaRef>
                      </c:ext>
                    </c:extLst>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6-0402-4160-88E8-00D18AF8F3D1}"/>
                  </c:ext>
                </c:extLst>
              </c15:ser>
            </c15:filteredLineSeries>
          </c:ext>
        </c:extLst>
      </c:lineChart>
      <c:catAx>
        <c:axId val="475294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475292864"/>
        <c:crosses val="autoZero"/>
        <c:auto val="1"/>
        <c:lblAlgn val="ctr"/>
        <c:lblOffset val="100"/>
        <c:noMultiLvlLbl val="0"/>
      </c:catAx>
      <c:valAx>
        <c:axId val="475292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nb-NO"/>
                  <a:t>mill kr (nominelt)</a:t>
                </a:r>
              </a:p>
            </c:rich>
          </c:tx>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475294832"/>
        <c:crosses val="autoZero"/>
        <c:crossBetween val="between"/>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extLst/>
  </c:chart>
  <c:txPr>
    <a:bodyPr/>
    <a:lstStyle/>
    <a:p>
      <a:pPr>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Prognoser!$D$51</c:f>
              <c:strCache>
                <c:ptCount val="1"/>
                <c:pt idx="0">
                  <c:v>Forventet netto driftsresultat</c:v>
                </c:pt>
              </c:strCache>
            </c:strRef>
          </c:tx>
          <c:spPr>
            <a:ln w="28575" cap="rnd">
              <a:solidFill>
                <a:schemeClr val="accent1"/>
              </a:solidFill>
              <a:round/>
            </a:ln>
            <a:effectLst/>
          </c:spPr>
          <c:marker>
            <c:symbol val="none"/>
          </c:marker>
          <c:cat>
            <c:numRef>
              <c:extLst>
                <c:ext xmlns:c15="http://schemas.microsoft.com/office/drawing/2012/chart" uri="{02D57815-91ED-43cb-92C2-25804820EDAC}">
                  <c15:fullRef>
                    <c15:sqref>Prognoser!$E$39:$T$39</c15:sqref>
                  </c15:fullRef>
                </c:ext>
              </c:extLst>
              <c:f>Prognoser!$F$39:$T$39</c:f>
              <c:numCache>
                <c:formatCode>General</c:formatCode>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numCache>
            </c:numRef>
          </c:cat>
          <c:val>
            <c:numRef>
              <c:extLst>
                <c:ext xmlns:c15="http://schemas.microsoft.com/office/drawing/2012/chart" uri="{02D57815-91ED-43cb-92C2-25804820EDAC}">
                  <c15:fullRef>
                    <c15:sqref>Prognoser!$E$51:$T$51</c15:sqref>
                  </c15:fullRef>
                </c:ext>
              </c:extLst>
              <c:f>Prognoser!$F$51:$T$51</c:f>
              <c:numCache>
                <c:formatCode>0.0\ %</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0-E077-4AB7-B71B-80B48F509120}"/>
            </c:ext>
          </c:extLst>
        </c:ser>
        <c:ser>
          <c:idx val="3"/>
          <c:order val="1"/>
          <c:tx>
            <c:strRef>
              <c:f>Prognoser!$D$52</c:f>
              <c:strCache>
                <c:ptCount val="1"/>
                <c:pt idx="0">
                  <c:v>Minimum netto driftsresultat</c:v>
                </c:pt>
              </c:strCache>
            </c:strRef>
          </c:tx>
          <c:spPr>
            <a:ln w="28575" cap="rnd">
              <a:solidFill>
                <a:schemeClr val="accent4"/>
              </a:solidFill>
              <a:round/>
            </a:ln>
            <a:effectLst/>
          </c:spPr>
          <c:marker>
            <c:symbol val="none"/>
          </c:marker>
          <c:cat>
            <c:strLit>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Prognoser!$E$52:$T$52</c15:sqref>
                  </c15:fullRef>
                </c:ext>
              </c:extLst>
              <c:f>Prognoser!$F$52:$T$52</c:f>
              <c:numCache>
                <c:formatCode>0.0\ %</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1-E077-4AB7-B71B-80B48F509120}"/>
            </c:ext>
          </c:extLst>
        </c:ser>
        <c:ser>
          <c:idx val="1"/>
          <c:order val="2"/>
          <c:tx>
            <c:strRef>
              <c:f>Prognoser!$D$53</c:f>
              <c:strCache>
                <c:ptCount val="1"/>
                <c:pt idx="0">
                  <c:v>Risikojustert minimumsnivå nettodriftsresultat</c:v>
                </c:pt>
              </c:strCache>
            </c:strRef>
          </c:tx>
          <c:spPr>
            <a:ln w="28575" cap="rnd">
              <a:solidFill>
                <a:schemeClr val="accent2"/>
              </a:solidFill>
              <a:round/>
            </a:ln>
            <a:effectLst/>
          </c:spPr>
          <c:marker>
            <c:symbol val="none"/>
          </c:marker>
          <c:cat>
            <c:strLit>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Prognoser!$E$53:$T$53</c15:sqref>
                  </c15:fullRef>
                </c:ext>
              </c:extLst>
              <c:f>Prognoser!$F$53:$T$53</c:f>
              <c:numCache>
                <c:formatCode>0.0\ %</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2-E077-4AB7-B71B-80B48F509120}"/>
            </c:ext>
          </c:extLst>
        </c:ser>
        <c:ser>
          <c:idx val="2"/>
          <c:order val="3"/>
          <c:tx>
            <c:strRef>
              <c:f>Prognoser!$D$55</c:f>
              <c:strCache>
                <c:ptCount val="1"/>
                <c:pt idx="0">
                  <c:v>Disposisjonsfond som andel av driftsinntekter</c:v>
                </c:pt>
              </c:strCache>
            </c:strRef>
          </c:tx>
          <c:spPr>
            <a:ln w="28575" cap="rnd">
              <a:solidFill>
                <a:schemeClr val="accent3"/>
              </a:solidFill>
              <a:round/>
            </a:ln>
            <a:effectLst/>
          </c:spPr>
          <c:marker>
            <c:symbol val="none"/>
          </c:marker>
          <c:cat>
            <c:strLit>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Prognoser!$E$55:$T$55</c15:sqref>
                  </c15:fullRef>
                </c:ext>
              </c:extLst>
              <c:f>Prognoser!$F$55:$T$55</c:f>
              <c:numCache>
                <c:formatCode>0.0\ %</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3-E077-4AB7-B71B-80B48F509120}"/>
            </c:ext>
          </c:extLst>
        </c:ser>
        <c:dLbls>
          <c:showLegendKey val="0"/>
          <c:showVal val="0"/>
          <c:showCatName val="0"/>
          <c:showSerName val="0"/>
          <c:showPercent val="0"/>
          <c:showBubbleSize val="0"/>
        </c:dLbls>
        <c:smooth val="0"/>
        <c:axId val="475294832"/>
        <c:axId val="475292864"/>
      </c:lineChart>
      <c:catAx>
        <c:axId val="475294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475292864"/>
        <c:crosses val="autoZero"/>
        <c:auto val="1"/>
        <c:lblAlgn val="ctr"/>
        <c:lblOffset val="100"/>
        <c:noMultiLvlLbl val="0"/>
      </c:catAx>
      <c:valAx>
        <c:axId val="475292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475294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3.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0</xdr:colOff>
      <xdr:row>8</xdr:row>
      <xdr:rowOff>3174</xdr:rowOff>
    </xdr:from>
    <xdr:ext cx="13061950" cy="6746876"/>
    <xdr:sp macro="" textlink="">
      <xdr:nvSpPr>
        <xdr:cNvPr id="2" name="TekstSylinder 1">
          <a:extLst>
            <a:ext uri="{FF2B5EF4-FFF2-40B4-BE49-F238E27FC236}">
              <a16:creationId xmlns:a16="http://schemas.microsoft.com/office/drawing/2014/main" id="{70B33E67-01C9-47A0-BACD-4CF27DDC5304}"/>
            </a:ext>
          </a:extLst>
        </xdr:cNvPr>
        <xdr:cNvSpPr txBox="1"/>
      </xdr:nvSpPr>
      <xdr:spPr>
        <a:xfrm>
          <a:off x="0" y="2168524"/>
          <a:ext cx="13061950" cy="674687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b="1">
              <a:solidFill>
                <a:schemeClr val="tx1"/>
              </a:solidFill>
              <a:effectLst/>
              <a:latin typeface="+mn-lt"/>
              <a:ea typeface="+mn-ea"/>
              <a:cs typeface="+mn-cs"/>
            </a:rPr>
            <a:t>Modellens</a:t>
          </a:r>
          <a:r>
            <a:rPr lang="nb-NO" sz="1100" b="1" baseline="0">
              <a:solidFill>
                <a:schemeClr val="tx1"/>
              </a:solidFill>
              <a:effectLst/>
              <a:latin typeface="+mn-lt"/>
              <a:ea typeface="+mn-ea"/>
              <a:cs typeface="+mn-cs"/>
            </a:rPr>
            <a:t> mål</a:t>
          </a:r>
          <a:endParaRPr lang="nb-NO" sz="1100" b="1">
            <a:solidFill>
              <a:schemeClr val="tx1"/>
            </a:solidFill>
            <a:effectLst/>
            <a:latin typeface="+mn-lt"/>
            <a:ea typeface="+mn-ea"/>
            <a:cs typeface="+mn-cs"/>
          </a:endParaRPr>
        </a:p>
        <a:p>
          <a:r>
            <a:rPr lang="nb-NO" sz="1100">
              <a:solidFill>
                <a:schemeClr val="tx1"/>
              </a:solidFill>
              <a:effectLst/>
              <a:latin typeface="+mn-lt"/>
              <a:ea typeface="+mn-ea"/>
              <a:cs typeface="+mn-cs"/>
            </a:rPr>
            <a:t>Denne</a:t>
          </a:r>
          <a:r>
            <a:rPr lang="nb-NO" sz="1100" baseline="0">
              <a:solidFill>
                <a:schemeClr val="tx1"/>
              </a:solidFill>
              <a:effectLst/>
              <a:latin typeface="+mn-lt"/>
              <a:ea typeface="+mn-ea"/>
              <a:cs typeface="+mn-cs"/>
            </a:rPr>
            <a:t> modellen er utviklet på oppdrag av KS av Menon Economics og Telemarksforskning. Målsetningen er å gi kommuner og fylker et verktøy som gir anbefalinger </a:t>
          </a:r>
          <a:r>
            <a:rPr lang="nb-NO" sz="1100" b="1" baseline="0">
              <a:solidFill>
                <a:schemeClr val="tx1"/>
              </a:solidFill>
              <a:effectLst/>
              <a:latin typeface="+mn-lt"/>
              <a:ea typeface="+mn-ea"/>
              <a:cs typeface="+mn-cs"/>
            </a:rPr>
            <a:t>for minimumsnivå for netto driftsresultat og disposisjonsford </a:t>
          </a:r>
          <a:r>
            <a:rPr lang="nb-NO" sz="1100" baseline="0">
              <a:solidFill>
                <a:schemeClr val="tx1"/>
              </a:solidFill>
              <a:effectLst/>
              <a:latin typeface="+mn-lt"/>
              <a:ea typeface="+mn-ea"/>
              <a:cs typeface="+mn-cs"/>
            </a:rPr>
            <a:t>tilpasset den enkelte kommune og fylkeskommune. </a:t>
          </a:r>
          <a:r>
            <a:rPr lang="nb-NO" sz="1100">
              <a:solidFill>
                <a:schemeClr val="tx1"/>
              </a:solidFill>
              <a:effectLst/>
              <a:latin typeface="+mn-lt"/>
              <a:ea typeface="+mn-ea"/>
              <a:cs typeface="+mn-cs"/>
            </a:rPr>
            <a:t>Modellen bygger på en sentral målsetning om </a:t>
          </a:r>
          <a:r>
            <a:rPr lang="nb-NO" sz="1100" b="1">
              <a:solidFill>
                <a:schemeClr val="tx1"/>
              </a:solidFill>
              <a:effectLst/>
              <a:latin typeface="+mn-lt"/>
              <a:ea typeface="+mn-ea"/>
              <a:cs typeface="+mn-cs"/>
            </a:rPr>
            <a:t>stabil tjenesteproduksjon</a:t>
          </a:r>
          <a:r>
            <a:rPr lang="nb-NO" sz="1100">
              <a:solidFill>
                <a:schemeClr val="tx1"/>
              </a:solidFill>
              <a:effectLst/>
              <a:latin typeface="+mn-lt"/>
              <a:ea typeface="+mn-ea"/>
              <a:cs typeface="+mn-cs"/>
            </a:rPr>
            <a:t>. For å oppnå dette ligger det inne en delmålsetning om at kommunen må ha </a:t>
          </a:r>
          <a:r>
            <a:rPr lang="nb-NO" sz="1100" b="1">
              <a:solidFill>
                <a:schemeClr val="tx1"/>
              </a:solidFill>
              <a:effectLst/>
              <a:latin typeface="+mn-lt"/>
              <a:ea typeface="+mn-ea"/>
              <a:cs typeface="+mn-cs"/>
            </a:rPr>
            <a:t>tilstrekkelig buffer</a:t>
          </a:r>
          <a:r>
            <a:rPr lang="nb-NO" sz="1100">
              <a:solidFill>
                <a:schemeClr val="tx1"/>
              </a:solidFill>
              <a:effectLst/>
              <a:latin typeface="+mn-lt"/>
              <a:ea typeface="+mn-ea"/>
              <a:cs typeface="+mn-cs"/>
            </a:rPr>
            <a:t> til å kunne håndtere et gitt nivå på risiko.</a:t>
          </a:r>
          <a:r>
            <a:rPr lang="nb-NO" sz="1100" baseline="0">
              <a:solidFill>
                <a:schemeClr val="tx1"/>
              </a:solidFill>
              <a:effectLst/>
              <a:latin typeface="+mn-lt"/>
              <a:ea typeface="+mn-ea"/>
              <a:cs typeface="+mn-cs"/>
            </a:rPr>
            <a:t> Vi antar at alle utgifter og inntekter må vokse i takt med driftsinntektene for</a:t>
          </a:r>
          <a:r>
            <a:rPr lang="nb-NO" sz="1100">
              <a:solidFill>
                <a:schemeClr val="tx1"/>
              </a:solidFill>
              <a:effectLst/>
              <a:latin typeface="+mn-lt"/>
              <a:ea typeface="+mn-ea"/>
              <a:cs typeface="+mn-cs"/>
            </a:rPr>
            <a:t> å oppretholde en stabil tjenesteproduksjon</a:t>
          </a:r>
          <a:r>
            <a:rPr lang="nb-NO" sz="1100" baseline="0">
              <a:solidFill>
                <a:schemeClr val="tx1"/>
              </a:solidFill>
              <a:effectLst/>
              <a:latin typeface="+mn-lt"/>
              <a:ea typeface="+mn-ea"/>
              <a:cs typeface="+mn-cs"/>
            </a:rPr>
            <a:t>. Anbefalingene er langsiktige. Vi antar at kommunens gjeld som andel av inntekter ikke kan øke, dersom stabil tjenesteproduksjon skal opprettholdes. Dette kommer av at det ikke vil være bærekraftig på lang sikt dersom gjelda vokser raskere enn inntektene på lang sikt. Et sentralt moment er at anbefalingene er minimumsnivåer og det bør ikke være en målsetning å styre mot disse nivåene, men heller å sikre at kommunen ikke havner under de anbefalte minimumsnivåene. </a:t>
          </a:r>
        </a:p>
        <a:p>
          <a:endParaRPr lang="nb-NO" sz="1100" baseline="0">
            <a:solidFill>
              <a:schemeClr val="tx1"/>
            </a:solidFill>
            <a:effectLst/>
            <a:latin typeface="+mn-lt"/>
            <a:ea typeface="+mn-ea"/>
            <a:cs typeface="+mn-cs"/>
          </a:endParaRPr>
        </a:p>
        <a:p>
          <a:r>
            <a:rPr lang="nb-NO" sz="1100" b="1" baseline="0">
              <a:solidFill>
                <a:schemeClr val="tx1"/>
              </a:solidFill>
              <a:effectLst/>
              <a:latin typeface="+mn-lt"/>
              <a:ea typeface="+mn-ea"/>
              <a:cs typeface="+mn-cs"/>
            </a:rPr>
            <a:t>Modellens anbelalinger</a:t>
          </a:r>
        </a:p>
        <a:p>
          <a:r>
            <a:rPr lang="nb-NO" sz="1100" baseline="0">
              <a:solidFill>
                <a:schemeClr val="tx1"/>
              </a:solidFill>
              <a:effectLst/>
              <a:latin typeface="+mn-lt"/>
              <a:ea typeface="+mn-ea"/>
              <a:cs typeface="+mn-cs"/>
            </a:rPr>
            <a:t>Modellen gir anbefalinger for følgende:</a:t>
          </a:r>
        </a:p>
        <a:p>
          <a:pPr rtl="0" eaLnBrk="1" latinLnBrk="0" hangingPunct="1"/>
          <a:r>
            <a:rPr lang="nb-NO" sz="1100" b="1" i="0" baseline="0">
              <a:solidFill>
                <a:schemeClr val="tx1"/>
              </a:solidFill>
              <a:effectLst/>
              <a:latin typeface="+mn-lt"/>
              <a:ea typeface="+mn-ea"/>
              <a:cs typeface="+mn-cs"/>
            </a:rPr>
            <a:t>1.Langsiktig minimumsnivå for netto driftsresultat</a:t>
          </a:r>
          <a:endParaRPr lang="nb-NO">
            <a:effectLst/>
          </a:endParaRPr>
        </a:p>
        <a:p>
          <a:pPr rtl="0" eaLnBrk="1" latinLnBrk="0" hangingPunct="1"/>
          <a:r>
            <a:rPr lang="nb-NO" sz="1100" b="0" i="0">
              <a:solidFill>
                <a:schemeClr val="tx1"/>
              </a:solidFill>
              <a:effectLst/>
              <a:latin typeface="+mn-lt"/>
              <a:ea typeface="+mn-ea"/>
              <a:cs typeface="+mn-cs"/>
            </a:rPr>
            <a:t>- Netto</a:t>
          </a:r>
          <a:r>
            <a:rPr lang="nb-NO" sz="1100" b="0" i="0" baseline="0">
              <a:solidFill>
                <a:schemeClr val="tx1"/>
              </a:solidFill>
              <a:effectLst/>
              <a:latin typeface="+mn-lt"/>
              <a:ea typeface="+mn-ea"/>
              <a:cs typeface="+mn-cs"/>
            </a:rPr>
            <a:t> driftsresultat</a:t>
          </a:r>
          <a:r>
            <a:rPr lang="nb-NO" sz="1100" b="0" i="0">
              <a:solidFill>
                <a:schemeClr val="tx1"/>
              </a:solidFill>
              <a:effectLst/>
              <a:latin typeface="+mn-lt"/>
              <a:ea typeface="+mn-ea"/>
              <a:cs typeface="+mn-cs"/>
            </a:rPr>
            <a:t> som er tilstrekkelig for å finansiere kommunens investeringer</a:t>
          </a:r>
          <a:endParaRPr lang="nb-NO">
            <a:effectLst/>
          </a:endParaRPr>
        </a:p>
        <a:p>
          <a:pPr rtl="0" eaLnBrk="1" latinLnBrk="0" hangingPunct="1"/>
          <a:r>
            <a:rPr lang="nb-NO" sz="1100" b="0" i="0">
              <a:solidFill>
                <a:schemeClr val="tx1"/>
              </a:solidFill>
              <a:effectLst/>
              <a:latin typeface="+mn-lt"/>
              <a:ea typeface="+mn-ea"/>
              <a:cs typeface="+mn-cs"/>
            </a:rPr>
            <a:t>- Gitt at gjelda som andel av inntekter ikke kan øke</a:t>
          </a:r>
          <a:endParaRPr lang="nb-NO">
            <a:effectLst/>
          </a:endParaRPr>
        </a:p>
        <a:p>
          <a:pPr rtl="0" eaLnBrk="1" latinLnBrk="0" hangingPunct="1"/>
          <a:r>
            <a:rPr lang="nb-NO" sz="1100" b="0" i="0">
              <a:solidFill>
                <a:schemeClr val="tx1"/>
              </a:solidFill>
              <a:effectLst/>
              <a:latin typeface="+mn-lt"/>
              <a:ea typeface="+mn-ea"/>
              <a:cs typeface="+mn-cs"/>
            </a:rPr>
            <a:t>- Investeringsutgifter og -inntekter som andel av utgifter er lik sitt historiske snitt</a:t>
          </a:r>
          <a:endParaRPr lang="nb-NO">
            <a:effectLst/>
          </a:endParaRPr>
        </a:p>
        <a:p>
          <a:pPr rtl="0" eaLnBrk="1" latinLnBrk="0" hangingPunct="1"/>
          <a:r>
            <a:rPr lang="nb-NO" sz="1100" b="1" i="0" baseline="0">
              <a:solidFill>
                <a:schemeClr val="tx1"/>
              </a:solidFill>
              <a:effectLst/>
              <a:latin typeface="+mn-lt"/>
              <a:ea typeface="+mn-ea"/>
              <a:cs typeface="+mn-cs"/>
            </a:rPr>
            <a:t>2. Tilstrekkelig stort disposisjonsfond for å håndtere rimelig risiko</a:t>
          </a:r>
          <a:r>
            <a:rPr lang="nb-NO" sz="1100" b="0" i="0" baseline="0">
              <a:solidFill>
                <a:schemeClr val="tx1"/>
              </a:solidFill>
              <a:effectLst/>
              <a:latin typeface="+mn-lt"/>
              <a:ea typeface="+mn-ea"/>
              <a:cs typeface="+mn-cs"/>
            </a:rPr>
            <a:t>. Rimelig risiko tilsier at kommunene skal kunne håndtere den største av:</a:t>
          </a:r>
          <a:endParaRPr lang="nb-NO">
            <a:effectLst/>
          </a:endParaRPr>
        </a:p>
        <a:p>
          <a:pPr rtl="0" eaLnBrk="1" latinLnBrk="0" hangingPunct="1"/>
          <a:r>
            <a:rPr lang="nb-NO" sz="1100" b="0" i="0">
              <a:solidFill>
                <a:schemeClr val="tx1"/>
              </a:solidFill>
              <a:effectLst/>
              <a:latin typeface="+mn-lt"/>
              <a:ea typeface="+mn-ea"/>
              <a:cs typeface="+mn-cs"/>
            </a:rPr>
            <a:t>- En renteøkning på 2% over fire år. Avkastning på finansformue antas å øke med 1%. </a:t>
          </a:r>
          <a:endParaRPr lang="nb-NO">
            <a:effectLst/>
          </a:endParaRPr>
        </a:p>
        <a:p>
          <a:pPr rtl="0" eaLnBrk="1" latinLnBrk="0" hangingPunct="1"/>
          <a:r>
            <a:rPr lang="nb-NO" sz="1100" b="0" i="0">
              <a:solidFill>
                <a:schemeClr val="tx1"/>
              </a:solidFill>
              <a:effectLst/>
              <a:latin typeface="+mn-lt"/>
              <a:ea typeface="+mn-ea"/>
              <a:cs typeface="+mn-cs"/>
            </a:rPr>
            <a:t>- Fall i finansinntekter og skatteinntekter lik 5-persentilen av slike fall i perioden 2004-2016.</a:t>
          </a:r>
        </a:p>
        <a:p>
          <a:pPr rtl="0" eaLnBrk="1" latinLnBrk="0" hangingPunct="1"/>
          <a:endParaRPr lang="nb-NO">
            <a:effectLst/>
          </a:endParaRPr>
        </a:p>
        <a:p>
          <a:pPr rtl="0" eaLnBrk="1" latinLnBrk="0" hangingPunct="1"/>
          <a:r>
            <a:rPr lang="nb-NO" sz="1100" b="0" i="0">
              <a:solidFill>
                <a:schemeClr val="tx1"/>
              </a:solidFill>
              <a:effectLst/>
              <a:latin typeface="+mn-lt"/>
              <a:ea typeface="+mn-ea"/>
              <a:cs typeface="+mn-cs"/>
            </a:rPr>
            <a:t>Økt rente vil på lengre</a:t>
          </a:r>
          <a:r>
            <a:rPr lang="nb-NO" sz="1100" b="0" i="0" baseline="0">
              <a:solidFill>
                <a:schemeClr val="tx1"/>
              </a:solidFill>
              <a:effectLst/>
              <a:latin typeface="+mn-lt"/>
              <a:ea typeface="+mn-ea"/>
              <a:cs typeface="+mn-cs"/>
            </a:rPr>
            <a:t> sikt </a:t>
          </a:r>
          <a:r>
            <a:rPr lang="nb-NO" sz="1100" b="0" i="0">
              <a:solidFill>
                <a:schemeClr val="tx1"/>
              </a:solidFill>
              <a:effectLst/>
              <a:latin typeface="+mn-lt"/>
              <a:ea typeface="+mn-ea"/>
              <a:cs typeface="+mn-cs"/>
            </a:rPr>
            <a:t>redusere premieinnbetalingene.</a:t>
          </a:r>
          <a:r>
            <a:rPr lang="nb-NO" sz="1100" b="0" i="0" baseline="0">
              <a:solidFill>
                <a:schemeClr val="tx1"/>
              </a:solidFill>
              <a:effectLst/>
              <a:latin typeface="+mn-lt"/>
              <a:ea typeface="+mn-ea"/>
              <a:cs typeface="+mn-cs"/>
            </a:rPr>
            <a:t> Dermed vil økt rente for de aller fleste kommuner kun være et midlertidig sjokk. Vi benytter variabelen "Renteeksponert gjeld" fra KOSTRA for å beregne risiko tilknyttet renteøkning. Denne tar høyde for rentekompensasjonsordninger og skal reflektere hvor stor del av kommunens gjeld som i praksis påvirkes av renteendringer. Den tar ikke høyde for eventuelle langsiktige rentebindinger.</a:t>
          </a:r>
          <a:endParaRPr lang="nb-NO">
            <a:effectLst/>
          </a:endParaRPr>
        </a:p>
        <a:p>
          <a:pPr rtl="0" eaLnBrk="1" latinLnBrk="0" hangingPunct="1"/>
          <a:endParaRPr lang="nb-NO">
            <a:effectLst/>
          </a:endParaRPr>
        </a:p>
        <a:p>
          <a:pPr rtl="0" eaLnBrk="1" latinLnBrk="0" hangingPunct="1"/>
          <a:r>
            <a:rPr lang="nb-NO" sz="1100" b="0" i="0">
              <a:solidFill>
                <a:schemeClr val="tx1"/>
              </a:solidFill>
              <a:effectLst/>
              <a:latin typeface="+mn-lt"/>
              <a:ea typeface="+mn-ea"/>
              <a:cs typeface="+mn-cs"/>
            </a:rPr>
            <a:t>Det som bidrar til økt risiko i modellen er dermed: Høy netto renteeksponert gjeld, skatteinntekter over 90% av landsgjennomsnittet og høye finansinntekter relativt til andre inntekter.</a:t>
          </a:r>
          <a:endParaRPr lang="nb-NO">
            <a:effectLst/>
          </a:endParaRPr>
        </a:p>
        <a:p>
          <a:endParaRPr lang="nb-NO" sz="1100" baseline="0">
            <a:solidFill>
              <a:schemeClr val="tx1"/>
            </a:solidFill>
            <a:effectLst/>
            <a:latin typeface="+mn-lt"/>
            <a:ea typeface="+mn-ea"/>
            <a:cs typeface="+mn-cs"/>
          </a:endParaRPr>
        </a:p>
        <a:p>
          <a:r>
            <a:rPr lang="nb-NO" sz="1600" b="1" baseline="0">
              <a:solidFill>
                <a:schemeClr val="tx1"/>
              </a:solidFill>
              <a:effectLst/>
              <a:latin typeface="+mn-lt"/>
              <a:ea typeface="+mn-ea"/>
              <a:cs typeface="+mn-cs"/>
            </a:rPr>
            <a:t>Det er viktig at du justerer forutsetningene i modellen hvis din kommune ikke planlegger å styre økonomien tilnærmet likt som de siste 5 til 15 årene</a:t>
          </a:r>
        </a:p>
        <a:p>
          <a:pPr marL="0" marR="0" lvl="0" indent="0" defTabSz="914400" eaLnBrk="1" fontAlgn="auto" latinLnBrk="0" hangingPunct="1">
            <a:lnSpc>
              <a:spcPct val="100000"/>
            </a:lnSpc>
            <a:spcBef>
              <a:spcPts val="0"/>
            </a:spcBef>
            <a:spcAft>
              <a:spcPts val="0"/>
            </a:spcAft>
            <a:buClrTx/>
            <a:buSzTx/>
            <a:buFontTx/>
            <a:buNone/>
            <a:tabLst/>
            <a:defRPr/>
          </a:pPr>
          <a:r>
            <a:rPr lang="nb-NO" sz="1100" baseline="0">
              <a:solidFill>
                <a:schemeClr val="tx1"/>
              </a:solidFill>
              <a:effectLst/>
              <a:latin typeface="+mn-lt"/>
              <a:ea typeface="+mn-ea"/>
              <a:cs typeface="+mn-cs"/>
            </a:rPr>
            <a:t>Modellen tar utgangspunkt i at forholdene mellom inntekter og utgifter og en rekke andre størrelser er lik det de har vært historisk for den enkelte kommune. Dersom du vet at din kommune planlegger å styre økonomien på en annen måte i årene framover enn den har gjort i fortiden er det viktig at du justerer disse faktorene for at modellen skal gi gode og realistiske anbefalinger. I fanen "inputdata" kan du legge inn tall for siste års budsjett og evt. mer langsiktige økonomiplaner. Modellen vil med utgangspunkt i disse beregne modellens sentrale inputvariabler slik at du kan bruke disse til å gjøre skjønnsmessige justeringer i "Modell"-fanen. I denne fanen vises også modellens resultater samt utviklingen i sentrale variabler i modellen. </a:t>
          </a:r>
          <a:r>
            <a:rPr lang="nb-NO" sz="1100" b="1" baseline="0">
              <a:solidFill>
                <a:schemeClr val="tx1"/>
              </a:solidFill>
              <a:effectLst/>
              <a:latin typeface="+mn-lt"/>
              <a:ea typeface="+mn-ea"/>
              <a:cs typeface="+mn-cs"/>
            </a:rPr>
            <a:t>For å fullt ut forstå resultatene er det lurt å lese forklaringene til høyre i modellfanen.</a:t>
          </a:r>
          <a:r>
            <a:rPr lang="nb-NO" sz="1100" baseline="0">
              <a:solidFill>
                <a:schemeClr val="tx1"/>
              </a:solidFill>
              <a:effectLst/>
              <a:latin typeface="+mn-lt"/>
              <a:ea typeface="+mn-ea"/>
              <a:cs typeface="+mn-cs"/>
            </a:rPr>
            <a:t> </a:t>
          </a:r>
          <a:r>
            <a:rPr lang="nb-NO" sz="1100" b="1" baseline="0">
              <a:solidFill>
                <a:sysClr val="windowText" lastClr="000000"/>
              </a:solidFill>
              <a:effectLst/>
              <a:latin typeface="+mn-lt"/>
              <a:ea typeface="+mn-ea"/>
              <a:cs typeface="+mn-cs"/>
            </a:rPr>
            <a:t>Celler som er </a:t>
          </a:r>
          <a:r>
            <a:rPr lang="nb-NO" sz="1100" b="1" baseline="0">
              <a:solidFill>
                <a:srgbClr val="FFFF00"/>
              </a:solidFill>
              <a:effectLst/>
              <a:latin typeface="+mn-lt"/>
              <a:ea typeface="+mn-ea"/>
              <a:cs typeface="+mn-cs"/>
            </a:rPr>
            <a:t>gule</a:t>
          </a:r>
          <a:r>
            <a:rPr lang="nb-NO" sz="1100" b="1" baseline="0">
              <a:solidFill>
                <a:sysClr val="windowText" lastClr="000000"/>
              </a:solidFill>
              <a:effectLst/>
              <a:latin typeface="+mn-lt"/>
              <a:ea typeface="+mn-ea"/>
              <a:cs typeface="+mn-cs"/>
            </a:rPr>
            <a:t> kan fylles ut av den enkelte kommune.</a:t>
          </a:r>
          <a:endParaRPr lang="nb-NO" sz="1200">
            <a:solidFill>
              <a:sysClr val="windowText" lastClr="000000"/>
            </a:solidFill>
            <a:effectLst/>
          </a:endParaRPr>
        </a:p>
        <a:p>
          <a:endParaRPr lang="nb-NO" sz="1200">
            <a:effectLst/>
          </a:endParaRPr>
        </a:p>
        <a:p>
          <a:r>
            <a:rPr lang="nb-NO" sz="1100" b="1">
              <a:solidFill>
                <a:schemeClr val="tx1"/>
              </a:solidFill>
              <a:effectLst/>
              <a:latin typeface="+mn-lt"/>
              <a:ea typeface="+mn-ea"/>
              <a:cs typeface="+mn-cs"/>
            </a:rPr>
            <a:t>Ytterlingere informasjon og forutsetninger</a:t>
          </a:r>
        </a:p>
        <a:p>
          <a:r>
            <a:rPr lang="nb-NO" sz="1100">
              <a:solidFill>
                <a:schemeClr val="tx1"/>
              </a:solidFill>
              <a:effectLst/>
              <a:latin typeface="+mn-lt"/>
              <a:ea typeface="+mn-ea"/>
              <a:cs typeface="+mn-cs"/>
            </a:rPr>
            <a:t>Modellen har ikke lagt til grunn noe eksplisitt mål om absolutt eller relativ formuesbevaring. Indirekte ligger det imidlertid en forutsetning om «absolutt» formuesbevaring av finanskapitalen. Dersom kommunen har mindre buffer enn minimumsanbefalingen knyttet til å kunne håndtere et gitt risikonivå, vil modellens anbefalte nivå på netto driftsresultat imidlertid tilsvare en økning i finansiell formue. </a:t>
          </a:r>
          <a:endParaRPr lang="nb-NO" sz="1200">
            <a:effectLst/>
          </a:endParaRPr>
        </a:p>
        <a:p>
          <a:endParaRPr lang="nb-NO" sz="1100">
            <a:solidFill>
              <a:schemeClr val="tx1"/>
            </a:solidFill>
            <a:effectLst/>
            <a:latin typeface="+mn-lt"/>
            <a:ea typeface="+mn-ea"/>
            <a:cs typeface="+mn-cs"/>
          </a:endParaRPr>
        </a:p>
        <a:p>
          <a:r>
            <a:rPr lang="nb-NO" sz="1100">
              <a:solidFill>
                <a:schemeClr val="tx1"/>
              </a:solidFill>
              <a:effectLst/>
              <a:latin typeface="+mn-lt"/>
              <a:ea typeface="+mn-ea"/>
              <a:cs typeface="+mn-cs"/>
            </a:rPr>
            <a:t>Anbefalingen for minimumsnivå på netto driftsresultat legger som utgangspunkt til grunn at kommunens gjeldsandel holdes konstant relativt til kommunens forventede sum inntekter. Dersom kommunen ikke har rom i budsjettene til å øke låneopptaket (enten fordi renteutgifter blir for høye eller fordi anbefalt nivå på disposisjonsfond tilsvarer høye avsetninger), så vil det likevel gis en anbefaling om at kommunen bør redusere gjeldsgraden og det generelle tjenestenivået. </a:t>
          </a:r>
          <a:endParaRPr lang="nb-NO" sz="12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nb-NO"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Ytterligere informasjon om ovenstående og  andre forutsetninger i modellen finner dere i arkfanen 'Forutsetninger'.</a:t>
          </a:r>
        </a:p>
      </xdr:txBody>
    </xdr:sp>
    <xdr:clientData/>
  </xdr:oneCellAnchor>
  <xdr:twoCellAnchor editAs="oneCell">
    <xdr:from>
      <xdr:col>0</xdr:col>
      <xdr:colOff>31750</xdr:colOff>
      <xdr:row>0</xdr:row>
      <xdr:rowOff>31750</xdr:rowOff>
    </xdr:from>
    <xdr:to>
      <xdr:col>1</xdr:col>
      <xdr:colOff>714069</xdr:colOff>
      <xdr:row>3</xdr:row>
      <xdr:rowOff>228443</xdr:rowOff>
    </xdr:to>
    <xdr:pic>
      <xdr:nvPicPr>
        <xdr:cNvPr id="4" name="Bilde 3">
          <a:extLst>
            <a:ext uri="{FF2B5EF4-FFF2-40B4-BE49-F238E27FC236}">
              <a16:creationId xmlns:a16="http://schemas.microsoft.com/office/drawing/2014/main" id="{0C7EB3A6-66DE-4DAF-89C5-497B66827589}"/>
            </a:ext>
          </a:extLst>
        </xdr:cNvPr>
        <xdr:cNvPicPr>
          <a:picLocks noChangeAspect="1"/>
        </xdr:cNvPicPr>
      </xdr:nvPicPr>
      <xdr:blipFill>
        <a:blip xmlns:r="http://schemas.openxmlformats.org/officeDocument/2006/relationships" r:embed="rId1"/>
        <a:stretch>
          <a:fillRect/>
        </a:stretch>
      </xdr:blipFill>
      <xdr:spPr>
        <a:xfrm>
          <a:off x="31750" y="31750"/>
          <a:ext cx="2447619" cy="1257143"/>
        </a:xfrm>
        <a:prstGeom prst="rect">
          <a:avLst/>
        </a:prstGeom>
      </xdr:spPr>
    </xdr:pic>
    <xdr:clientData/>
  </xdr:twoCellAnchor>
  <xdr:twoCellAnchor editAs="oneCell">
    <xdr:from>
      <xdr:col>2</xdr:col>
      <xdr:colOff>6350</xdr:colOff>
      <xdr:row>0</xdr:row>
      <xdr:rowOff>38100</xdr:rowOff>
    </xdr:from>
    <xdr:to>
      <xdr:col>4</xdr:col>
      <xdr:colOff>1115168</xdr:colOff>
      <xdr:row>2</xdr:row>
      <xdr:rowOff>254000</xdr:rowOff>
    </xdr:to>
    <xdr:pic>
      <xdr:nvPicPr>
        <xdr:cNvPr id="5" name="Bilde 4">
          <a:extLst>
            <a:ext uri="{FF2B5EF4-FFF2-40B4-BE49-F238E27FC236}">
              <a16:creationId xmlns:a16="http://schemas.microsoft.com/office/drawing/2014/main" id="{F12B1C7D-20C1-46E9-8EC0-26123746EFA7}"/>
            </a:ext>
          </a:extLst>
        </xdr:cNvPr>
        <xdr:cNvPicPr>
          <a:picLocks noChangeAspect="1"/>
        </xdr:cNvPicPr>
      </xdr:nvPicPr>
      <xdr:blipFill>
        <a:blip xmlns:r="http://schemas.openxmlformats.org/officeDocument/2006/relationships" r:embed="rId2"/>
        <a:stretch>
          <a:fillRect/>
        </a:stretch>
      </xdr:blipFill>
      <xdr:spPr>
        <a:xfrm>
          <a:off x="2501900" y="38100"/>
          <a:ext cx="3388468" cy="965200"/>
        </a:xfrm>
        <a:prstGeom prst="rect">
          <a:avLst/>
        </a:prstGeom>
      </xdr:spPr>
    </xdr:pic>
    <xdr:clientData/>
  </xdr:twoCellAnchor>
  <xdr:twoCellAnchor editAs="oneCell">
    <xdr:from>
      <xdr:col>4</xdr:col>
      <xdr:colOff>1155700</xdr:colOff>
      <xdr:row>0</xdr:row>
      <xdr:rowOff>50800</xdr:rowOff>
    </xdr:from>
    <xdr:to>
      <xdr:col>9</xdr:col>
      <xdr:colOff>235756</xdr:colOff>
      <xdr:row>2</xdr:row>
      <xdr:rowOff>247650</xdr:rowOff>
    </xdr:to>
    <xdr:pic>
      <xdr:nvPicPr>
        <xdr:cNvPr id="6" name="Bilde 5">
          <a:extLst>
            <a:ext uri="{FF2B5EF4-FFF2-40B4-BE49-F238E27FC236}">
              <a16:creationId xmlns:a16="http://schemas.microsoft.com/office/drawing/2014/main" id="{D3C45721-8FC3-45E8-B591-30598E5EAF24}"/>
            </a:ext>
          </a:extLst>
        </xdr:cNvPr>
        <xdr:cNvPicPr>
          <a:picLocks noChangeAspect="1"/>
        </xdr:cNvPicPr>
      </xdr:nvPicPr>
      <xdr:blipFill>
        <a:blip xmlns:r="http://schemas.openxmlformats.org/officeDocument/2006/relationships" r:embed="rId3"/>
        <a:stretch>
          <a:fillRect/>
        </a:stretch>
      </xdr:blipFill>
      <xdr:spPr>
        <a:xfrm>
          <a:off x="5937250" y="50800"/>
          <a:ext cx="5106206" cy="946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24</xdr:row>
      <xdr:rowOff>38100</xdr:rowOff>
    </xdr:from>
    <xdr:ext cx="14598650" cy="1659082"/>
    <xdr:sp macro="" textlink="">
      <xdr:nvSpPr>
        <xdr:cNvPr id="2" name="TekstSylinder 1">
          <a:extLst>
            <a:ext uri="{FF2B5EF4-FFF2-40B4-BE49-F238E27FC236}">
              <a16:creationId xmlns:a16="http://schemas.microsoft.com/office/drawing/2014/main" id="{7B99FF28-9A0A-4519-8153-BA06AF56F409}"/>
            </a:ext>
          </a:extLst>
        </xdr:cNvPr>
        <xdr:cNvSpPr txBox="1"/>
      </xdr:nvSpPr>
      <xdr:spPr>
        <a:xfrm>
          <a:off x="311727" y="5631873"/>
          <a:ext cx="14598650" cy="165908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400" b="1"/>
            <a:t>Avledede variabler - Brukerveiledning</a:t>
          </a:r>
        </a:p>
        <a:p>
          <a:r>
            <a:rPr lang="nb-NO" sz="1100"/>
            <a:t>Modellen er laget for å gi anbefalinger i et langsiktig perspektiv. Den er derfor bygget rundt</a:t>
          </a:r>
          <a:r>
            <a:rPr lang="nb-NO" sz="1100" baseline="0"/>
            <a:t> andeler heller enn kroneverdier, siden eksempelvis Driftsinntektene i kroner aldri vil være det samme fra et år til et annet, mens Driftsutgifter delt på Driftsinntekter og finansinntekter i mange tilfeller er svært stabile størrelser. For de skjønnsmessige justeringene er det disse andelene du blir bedt om å endre på. For at du skal få en følelse på hvordan disse andelene er for din kommune er disse regnet ut for siste år med KOSTRA-data og gjennomsnittstall for lengre historiske serier (se begrunnelser for antall år hver enkel andel er beregnet med utgangspunt i). Hvordan de forskjellige andelene er definert kan sees i kolonnen for Definisjon og i kolonnen Modellkode. Merk at vi her ikke bruker KOSTRA-arter, men inputvariablene slik definert over.</a:t>
          </a:r>
        </a:p>
        <a:p>
          <a:endParaRPr lang="nb-NO" sz="1100" baseline="0"/>
        </a:p>
        <a:p>
          <a:pPr eaLnBrk="1" fontAlgn="auto" latinLnBrk="0" hangingPunct="1"/>
          <a:r>
            <a:rPr lang="nb-NO" sz="1100" baseline="0"/>
            <a:t>Lenger ned kan du legge inn tall for de relevante inputvariablene for eksempel hentet fra økonomiplaner og gjennomsnitt for de avledede variablene regnes ut i kollonne G. Slik vil du få et grep på om hvordan disse avlede variablene er planlagt å se ut i nær framtid. Dette kan informere eventuelle skjønnsmessige justeringer av modellen. </a:t>
          </a:r>
          <a:r>
            <a:rPr lang="nb-NO" sz="1100" b="1" baseline="0">
              <a:solidFill>
                <a:schemeClr val="tx1"/>
              </a:solidFill>
              <a:effectLst/>
              <a:latin typeface="+mn-lt"/>
              <a:ea typeface="+mn-ea"/>
              <a:cs typeface="+mn-cs"/>
            </a:rPr>
            <a:t>Celler som er </a:t>
          </a:r>
          <a:r>
            <a:rPr lang="nb-NO" sz="1100" b="1" baseline="0">
              <a:solidFill>
                <a:srgbClr val="FFFF00"/>
              </a:solidFill>
              <a:effectLst/>
              <a:latin typeface="+mn-lt"/>
              <a:ea typeface="+mn-ea"/>
              <a:cs typeface="+mn-cs"/>
            </a:rPr>
            <a:t>gule</a:t>
          </a:r>
          <a:r>
            <a:rPr lang="nb-NO" sz="1100" b="1" baseline="0">
              <a:solidFill>
                <a:schemeClr val="tx1"/>
              </a:solidFill>
              <a:effectLst/>
              <a:latin typeface="+mn-lt"/>
              <a:ea typeface="+mn-ea"/>
              <a:cs typeface="+mn-cs"/>
            </a:rPr>
            <a:t> kan fylles ut av den enkelte kommune.</a:t>
          </a:r>
          <a:endParaRPr lang="nb-NO">
            <a:effectLst/>
          </a:endParaRPr>
        </a:p>
        <a:p>
          <a:endParaRPr lang="nb-NO" sz="1100"/>
        </a:p>
      </xdr:txBody>
    </xdr:sp>
    <xdr:clientData/>
  </xdr:oneCellAnchor>
  <xdr:oneCellAnchor>
    <xdr:from>
      <xdr:col>1</xdr:col>
      <xdr:colOff>0</xdr:colOff>
      <xdr:row>7</xdr:row>
      <xdr:rowOff>88900</xdr:rowOff>
    </xdr:from>
    <xdr:ext cx="14592300" cy="910726"/>
    <xdr:sp macro="" textlink="">
      <xdr:nvSpPr>
        <xdr:cNvPr id="3" name="TekstSylinder 2">
          <a:extLst>
            <a:ext uri="{FF2B5EF4-FFF2-40B4-BE49-F238E27FC236}">
              <a16:creationId xmlns:a16="http://schemas.microsoft.com/office/drawing/2014/main" id="{8214EC8D-FB8E-46E9-93EC-1042400F1B3E}"/>
            </a:ext>
          </a:extLst>
        </xdr:cNvPr>
        <xdr:cNvSpPr txBox="1"/>
      </xdr:nvSpPr>
      <xdr:spPr>
        <a:xfrm>
          <a:off x="330200" y="1955800"/>
          <a:ext cx="14592300" cy="91072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400" b="1"/>
            <a:t>Modellens</a:t>
          </a:r>
          <a:r>
            <a:rPr lang="nb-NO" sz="1400" b="1" baseline="0"/>
            <a:t> inputdata - Brukerveiledning</a:t>
          </a:r>
          <a:endParaRPr lang="nb-NO" sz="1400" b="1"/>
        </a:p>
        <a:p>
          <a:pPr marL="0" marR="0" lvl="0" indent="0" defTabSz="914400" eaLnBrk="1" fontAlgn="auto" latinLnBrk="0" hangingPunct="1">
            <a:lnSpc>
              <a:spcPct val="100000"/>
            </a:lnSpc>
            <a:spcBef>
              <a:spcPts val="0"/>
            </a:spcBef>
            <a:spcAft>
              <a:spcPts val="0"/>
            </a:spcAft>
            <a:buClrTx/>
            <a:buSzTx/>
            <a:buFontTx/>
            <a:buNone/>
            <a:tabLst/>
            <a:defRPr/>
          </a:pPr>
          <a:r>
            <a:rPr lang="nb-NO" sz="1100"/>
            <a:t>Modellen benytter</a:t>
          </a:r>
          <a:r>
            <a:rPr lang="nb-NO" sz="1100" baseline="0"/>
            <a:t> data fra kommunens regnskap hentet fra KOSTRA. I utgangspunktet er modellens resultater basert på historiske sammenhenger for hver enkelt kommune mellom slike regnskapsvariabler. Dette vil si at den antar at kommunen vil følge samme handlingsregler i framtiden som i fortiden. Dette er et godt utgangspunkt, men det er ikke sikkert at din kommune vil fortsette å styre økonomien helt likt vis som de siste årene. </a:t>
          </a:r>
          <a:r>
            <a:rPr lang="nb-NO" sz="1100" b="1" baseline="0"/>
            <a:t>For at modellen skal gi troverdige resultater kan det være nødvendig med skjønnsmessige justeringer. For å kunne gjøre slike skjønnsmessige vurderinger må man først ha klart for seg hvordan modellens inputdata er definert, se under. </a:t>
          </a:r>
          <a:r>
            <a:rPr lang="nb-NO" sz="1100" b="1" baseline="0">
              <a:solidFill>
                <a:schemeClr val="tx1"/>
              </a:solidFill>
              <a:effectLst/>
              <a:latin typeface="+mn-lt"/>
              <a:ea typeface="+mn-ea"/>
              <a:cs typeface="+mn-cs"/>
            </a:rPr>
            <a:t>Celler som er </a:t>
          </a:r>
          <a:r>
            <a:rPr lang="nb-NO" sz="1100" b="1" baseline="0">
              <a:solidFill>
                <a:srgbClr val="FFFF00"/>
              </a:solidFill>
              <a:effectLst/>
              <a:latin typeface="+mn-lt"/>
              <a:ea typeface="+mn-ea"/>
              <a:cs typeface="+mn-cs"/>
            </a:rPr>
            <a:t>gule</a:t>
          </a:r>
          <a:r>
            <a:rPr lang="nb-NO" sz="1100" b="1" baseline="0">
              <a:solidFill>
                <a:schemeClr val="tx1"/>
              </a:solidFill>
              <a:effectLst/>
              <a:latin typeface="+mn-lt"/>
              <a:ea typeface="+mn-ea"/>
              <a:cs typeface="+mn-cs"/>
            </a:rPr>
            <a:t> kan fylles ut av den enkelte kommune.</a:t>
          </a:r>
          <a:endParaRPr lang="nb-NO">
            <a:effectLst/>
          </a:endParaRPr>
        </a:p>
        <a:p>
          <a:endParaRPr lang="nb-NO" sz="1100" b="1">
            <a:solidFill>
              <a:schemeClr val="accent6"/>
            </a:solidFill>
          </a:endParaRPr>
        </a:p>
      </xdr:txBody>
    </xdr:sp>
    <xdr:clientData/>
  </xdr:oneCellAnchor>
  <xdr:oneCellAnchor>
    <xdr:from>
      <xdr:col>8</xdr:col>
      <xdr:colOff>493568</xdr:colOff>
      <xdr:row>33</xdr:row>
      <xdr:rowOff>110259</xdr:rowOff>
    </xdr:from>
    <xdr:ext cx="16963160" cy="1835150"/>
    <xdr:sp macro="" textlink="">
      <xdr:nvSpPr>
        <xdr:cNvPr id="4" name="TekstSylinder 3">
          <a:extLst>
            <a:ext uri="{FF2B5EF4-FFF2-40B4-BE49-F238E27FC236}">
              <a16:creationId xmlns:a16="http://schemas.microsoft.com/office/drawing/2014/main" id="{752EDC00-F59B-4EDF-A57C-8C88944E66A5}"/>
            </a:ext>
          </a:extLst>
        </xdr:cNvPr>
        <xdr:cNvSpPr txBox="1"/>
      </xdr:nvSpPr>
      <xdr:spPr>
        <a:xfrm>
          <a:off x="15473795" y="7418532"/>
          <a:ext cx="16963160" cy="183515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400" b="1"/>
            <a:t>Begrunnelse</a:t>
          </a:r>
          <a:r>
            <a:rPr lang="nb-NO" sz="1400" b="1" baseline="0"/>
            <a:t> for antall år benyttet for å lage historiske snitt</a:t>
          </a:r>
          <a:endParaRPr lang="nb-NO" sz="1400" b="1"/>
        </a:p>
        <a:p>
          <a:endParaRPr lang="nb-NO" sz="600"/>
        </a:p>
        <a:p>
          <a:r>
            <a:rPr lang="nb-NO" sz="1100"/>
            <a:t>Vi benytter</a:t>
          </a:r>
          <a:r>
            <a:rPr lang="nb-NO" sz="1100" baseline="0"/>
            <a:t> her siste fem år for å få ett oppdatert, men stabilt bilde på hvor store driftsutgiftene i kommunen har vært relativt til inntektene.</a:t>
          </a:r>
        </a:p>
        <a:p>
          <a:r>
            <a:rPr lang="nb-NO" sz="1100" baseline="0"/>
            <a:t>Siden investeringsutgiftene er svært volatile, benytter vi gjennomsnittet over de siste 13 årene. Dette sikrer at vi får et gjennomsnittsforhold mellom investerings- og drifsutgifter som i liten grad er påvirket av om investeringsutgiftene har vært unormalt lave eller høye de siste årene.</a:t>
          </a:r>
        </a:p>
        <a:p>
          <a:pPr marL="0" marR="0" lvl="0" indent="0" defTabSz="914400" eaLnBrk="1" fontAlgn="auto" latinLnBrk="0" hangingPunct="1">
            <a:lnSpc>
              <a:spcPct val="100000"/>
            </a:lnSpc>
            <a:spcBef>
              <a:spcPts val="0"/>
            </a:spcBef>
            <a:spcAft>
              <a:spcPts val="0"/>
            </a:spcAft>
            <a:buClrTx/>
            <a:buSzTx/>
            <a:buFontTx/>
            <a:buNone/>
            <a:tabLst/>
            <a:defRPr/>
          </a:pPr>
          <a:r>
            <a:rPr lang="nb-NO" sz="1100" baseline="0">
              <a:solidFill>
                <a:schemeClr val="tx1"/>
              </a:solidFill>
              <a:effectLst/>
              <a:latin typeface="+mn-lt"/>
              <a:ea typeface="+mn-ea"/>
              <a:cs typeface="+mn-cs"/>
            </a:rPr>
            <a:t>Momskompensasjonen for investeringer ble flyttet fra driftsregnskapet til investeringsregnskapet fra og med 2014, </a:t>
          </a:r>
          <a:r>
            <a:rPr lang="nb-NO" sz="1100">
              <a:solidFill>
                <a:schemeClr val="tx1"/>
              </a:solidFill>
              <a:effectLst/>
              <a:latin typeface="+mn-lt"/>
              <a:ea typeface="+mn-ea"/>
              <a:cs typeface="+mn-cs"/>
            </a:rPr>
            <a:t>og vi har derfor lagt til MVA-kompensasjon for investeringer ført i driftsregnskapet til investeringsinntektene for årene før 2013.</a:t>
          </a:r>
          <a:endParaRPr lang="nb-NO">
            <a:effectLst/>
          </a:endParaRPr>
        </a:p>
        <a:p>
          <a:endParaRPr lang="nb-NO" sz="1100"/>
        </a:p>
        <a:p>
          <a:r>
            <a:rPr lang="nb-NO" sz="1100"/>
            <a:t>Avkastning på finansformue kan være volatil og vi benytter derfor snittet for de siste fem årene.</a:t>
          </a:r>
        </a:p>
        <a:p>
          <a:r>
            <a:rPr lang="nb-NO" sz="1100"/>
            <a:t>Forventet årlig vekst i driftsinntekter</a:t>
          </a:r>
          <a:r>
            <a:rPr lang="nb-NO" sz="1100" baseline="0"/>
            <a:t> er i utgangspunktet satt lik den veksten regjeringen har signalisert at kommunene forventes å få årlig på lengre sikt. På lang sikt kan denne ikke avvike strerkt fra forventet realvekst i økonomien.</a:t>
          </a:r>
        </a:p>
        <a:p>
          <a:r>
            <a:rPr lang="nb-NO" sz="1100"/>
            <a:t>Forventet langsiktig</a:t>
          </a:r>
          <a:r>
            <a:rPr lang="nb-NO" sz="1100" baseline="0"/>
            <a:t> prisvekst for kommunesektoren er satt lik gjennomsnittet for de siste fire årene. Dette sammenfaller i tillegg med Norges Banks inflasjonsmål. På lang sikt bør prisveksten i kommunalsektor ikke avvike strerkt fra dette målet.</a:t>
          </a:r>
          <a:endParaRPr lang="nb-NO" sz="1100"/>
        </a:p>
        <a:p>
          <a:r>
            <a:rPr lang="nb-NO" sz="1100"/>
            <a:t>Forventningen</a:t>
          </a:r>
          <a:r>
            <a:rPr lang="nb-NO" sz="1100" baseline="0"/>
            <a:t> om lånerente neste år er beregnet som styringsrenta pluss gjennomsnittlig differanse mellom styringsrente og kommunal sektors gjennomsnittlige rente de siste to årene.</a:t>
          </a:r>
          <a:endParaRPr lang="nb-NO" sz="1100"/>
        </a:p>
      </xdr:txBody>
    </xdr:sp>
    <xdr:clientData/>
  </xdr:oneCellAnchor>
  <xdr:oneCellAnchor>
    <xdr:from>
      <xdr:col>0</xdr:col>
      <xdr:colOff>309417</xdr:colOff>
      <xdr:row>43</xdr:row>
      <xdr:rowOff>42718</xdr:rowOff>
    </xdr:from>
    <xdr:ext cx="14592300" cy="850900"/>
    <xdr:sp macro="" textlink="">
      <xdr:nvSpPr>
        <xdr:cNvPr id="5" name="TekstSylinder 4">
          <a:extLst>
            <a:ext uri="{FF2B5EF4-FFF2-40B4-BE49-F238E27FC236}">
              <a16:creationId xmlns:a16="http://schemas.microsoft.com/office/drawing/2014/main" id="{60304419-E36C-4EA4-B801-407F9E69BD65}"/>
            </a:ext>
          </a:extLst>
        </xdr:cNvPr>
        <xdr:cNvSpPr txBox="1"/>
      </xdr:nvSpPr>
      <xdr:spPr>
        <a:xfrm>
          <a:off x="309417" y="9446491"/>
          <a:ext cx="14592300" cy="85090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400" b="1"/>
            <a:t>Kommunens</a:t>
          </a:r>
          <a:r>
            <a:rPr lang="nb-NO" sz="1400" b="1" baseline="0"/>
            <a:t> planlagte økonomi</a:t>
          </a:r>
          <a:r>
            <a:rPr lang="nb-NO" sz="1400" b="1"/>
            <a:t> - Brukerveiledning</a:t>
          </a:r>
        </a:p>
        <a:p>
          <a:pPr marL="0" marR="0" lvl="0" indent="0" defTabSz="914400" eaLnBrk="1" fontAlgn="auto" latinLnBrk="0" hangingPunct="1">
            <a:lnSpc>
              <a:spcPct val="100000"/>
            </a:lnSpc>
            <a:spcBef>
              <a:spcPts val="0"/>
            </a:spcBef>
            <a:spcAft>
              <a:spcPts val="0"/>
            </a:spcAft>
            <a:buClrTx/>
            <a:buSzTx/>
            <a:buFontTx/>
            <a:buNone/>
            <a:tabLst/>
            <a:defRPr/>
          </a:pPr>
          <a:r>
            <a:rPr lang="nb-NO" sz="1100"/>
            <a:t>Modellen er laget for å gi anbefalinger i et langsiktig perspektiv</a:t>
          </a:r>
          <a:r>
            <a:rPr lang="nb-NO" sz="1100" baseline="0"/>
            <a:t> og det er ikke nødvendigvis slik at kommunen vil styre økonomien sin slik den har gjort historisk. </a:t>
          </a:r>
          <a:r>
            <a:rPr lang="nb-NO" sz="1100" b="1" baseline="0"/>
            <a:t>Dersom din kommune har økonomiplaner som går fremover i tid kan de planlagte verdiene for modellvariablene over legges inn under og de relevante modellvariablene basert på verdiene regnes automatisk ut over. I modellfanen kan du sette inn disse verdiene istedenfor de historiske gjennomsnittene og få modellens anbefalinger gitt din kommunes planer.</a:t>
          </a:r>
          <a:r>
            <a:rPr lang="nb-NO" sz="1100" baseline="0"/>
            <a:t> Merk KOSTRA-definisjonene av variablene X til T og legg inn tilsvarende tall for hver av variablene.  </a:t>
          </a:r>
          <a:r>
            <a:rPr lang="nb-NO" sz="1100" b="1" baseline="0">
              <a:solidFill>
                <a:schemeClr val="tx1"/>
              </a:solidFill>
              <a:effectLst/>
              <a:latin typeface="+mn-lt"/>
              <a:ea typeface="+mn-ea"/>
              <a:cs typeface="+mn-cs"/>
            </a:rPr>
            <a:t>Celler som er </a:t>
          </a:r>
          <a:r>
            <a:rPr lang="nb-NO" sz="1100" b="1" baseline="0">
              <a:solidFill>
                <a:srgbClr val="FFFF00"/>
              </a:solidFill>
              <a:effectLst/>
              <a:latin typeface="+mn-lt"/>
              <a:ea typeface="+mn-ea"/>
              <a:cs typeface="+mn-cs"/>
            </a:rPr>
            <a:t>gule</a:t>
          </a:r>
          <a:r>
            <a:rPr lang="nb-NO" sz="1100" b="1" baseline="0">
              <a:solidFill>
                <a:schemeClr val="tx1"/>
              </a:solidFill>
              <a:effectLst/>
              <a:latin typeface="+mn-lt"/>
              <a:ea typeface="+mn-ea"/>
              <a:cs typeface="+mn-cs"/>
            </a:rPr>
            <a:t> kan fylles ut av den enkelte kommune.</a:t>
          </a:r>
          <a:endParaRPr lang="nb-NO">
            <a:effectLst/>
          </a:endParaRPr>
        </a:p>
        <a:p>
          <a:endParaRPr lang="nb-NO" sz="1100">
            <a:solidFill>
              <a:schemeClr val="accent6"/>
            </a:solidFill>
          </a:endParaRPr>
        </a:p>
      </xdr:txBody>
    </xdr:sp>
    <xdr:clientData/>
  </xdr:oneCellAnchor>
  <xdr:twoCellAnchor editAs="oneCell">
    <xdr:from>
      <xdr:col>0</xdr:col>
      <xdr:colOff>0</xdr:colOff>
      <xdr:row>0</xdr:row>
      <xdr:rowOff>0</xdr:rowOff>
    </xdr:from>
    <xdr:to>
      <xdr:col>1</xdr:col>
      <xdr:colOff>2094082</xdr:colOff>
      <xdr:row>3</xdr:row>
      <xdr:rowOff>216477</xdr:rowOff>
    </xdr:to>
    <xdr:pic>
      <xdr:nvPicPr>
        <xdr:cNvPr id="6" name="Bilde 5">
          <a:extLst>
            <a:ext uri="{FF2B5EF4-FFF2-40B4-BE49-F238E27FC236}">
              <a16:creationId xmlns:a16="http://schemas.microsoft.com/office/drawing/2014/main" id="{3C07D618-2CAB-4DDC-A7CA-56229D05AD13}"/>
            </a:ext>
          </a:extLst>
        </xdr:cNvPr>
        <xdr:cNvPicPr>
          <a:picLocks noChangeAspect="1"/>
        </xdr:cNvPicPr>
      </xdr:nvPicPr>
      <xdr:blipFill>
        <a:blip xmlns:r="http://schemas.openxmlformats.org/officeDocument/2006/relationships" r:embed="rId1"/>
        <a:stretch>
          <a:fillRect/>
        </a:stretch>
      </xdr:blipFill>
      <xdr:spPr>
        <a:xfrm>
          <a:off x="0" y="0"/>
          <a:ext cx="2431787" cy="1246909"/>
        </a:xfrm>
        <a:prstGeom prst="rect">
          <a:avLst/>
        </a:prstGeom>
      </xdr:spPr>
    </xdr:pic>
    <xdr:clientData/>
  </xdr:twoCellAnchor>
  <xdr:twoCellAnchor editAs="oneCell">
    <xdr:from>
      <xdr:col>1</xdr:col>
      <xdr:colOff>2139950</xdr:colOff>
      <xdr:row>0</xdr:row>
      <xdr:rowOff>6350</xdr:rowOff>
    </xdr:from>
    <xdr:to>
      <xdr:col>3</xdr:col>
      <xdr:colOff>810368</xdr:colOff>
      <xdr:row>2</xdr:row>
      <xdr:rowOff>222250</xdr:rowOff>
    </xdr:to>
    <xdr:pic>
      <xdr:nvPicPr>
        <xdr:cNvPr id="7" name="Bilde 6">
          <a:extLst>
            <a:ext uri="{FF2B5EF4-FFF2-40B4-BE49-F238E27FC236}">
              <a16:creationId xmlns:a16="http://schemas.microsoft.com/office/drawing/2014/main" id="{2862379D-55A3-49CB-AE46-D68EBF7C6A97}"/>
            </a:ext>
          </a:extLst>
        </xdr:cNvPr>
        <xdr:cNvPicPr>
          <a:picLocks noChangeAspect="1"/>
        </xdr:cNvPicPr>
      </xdr:nvPicPr>
      <xdr:blipFill>
        <a:blip xmlns:r="http://schemas.openxmlformats.org/officeDocument/2006/relationships" r:embed="rId2"/>
        <a:stretch>
          <a:fillRect/>
        </a:stretch>
      </xdr:blipFill>
      <xdr:spPr>
        <a:xfrm>
          <a:off x="2470150" y="6350"/>
          <a:ext cx="3388468" cy="965200"/>
        </a:xfrm>
        <a:prstGeom prst="rect">
          <a:avLst/>
        </a:prstGeom>
      </xdr:spPr>
    </xdr:pic>
    <xdr:clientData/>
  </xdr:twoCellAnchor>
  <xdr:twoCellAnchor editAs="oneCell">
    <xdr:from>
      <xdr:col>3</xdr:col>
      <xdr:colOff>838200</xdr:colOff>
      <xdr:row>0</xdr:row>
      <xdr:rowOff>19050</xdr:rowOff>
    </xdr:from>
    <xdr:to>
      <xdr:col>4</xdr:col>
      <xdr:colOff>1683556</xdr:colOff>
      <xdr:row>2</xdr:row>
      <xdr:rowOff>215900</xdr:rowOff>
    </xdr:to>
    <xdr:pic>
      <xdr:nvPicPr>
        <xdr:cNvPr id="8" name="Bilde 7">
          <a:extLst>
            <a:ext uri="{FF2B5EF4-FFF2-40B4-BE49-F238E27FC236}">
              <a16:creationId xmlns:a16="http://schemas.microsoft.com/office/drawing/2014/main" id="{B85C1A6A-635D-449A-A10C-F0BC6027E0CA}"/>
            </a:ext>
          </a:extLst>
        </xdr:cNvPr>
        <xdr:cNvPicPr>
          <a:picLocks noChangeAspect="1"/>
        </xdr:cNvPicPr>
      </xdr:nvPicPr>
      <xdr:blipFill>
        <a:blip xmlns:r="http://schemas.openxmlformats.org/officeDocument/2006/relationships" r:embed="rId3"/>
        <a:stretch>
          <a:fillRect/>
        </a:stretch>
      </xdr:blipFill>
      <xdr:spPr>
        <a:xfrm>
          <a:off x="5886450" y="19050"/>
          <a:ext cx="5106206" cy="9461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9</xdr:col>
      <xdr:colOff>24696</xdr:colOff>
      <xdr:row>19</xdr:row>
      <xdr:rowOff>57150</xdr:rowOff>
    </xdr:from>
    <xdr:ext cx="12823472" cy="11302453"/>
    <xdr:sp macro="" textlink="">
      <xdr:nvSpPr>
        <xdr:cNvPr id="3" name="TekstSylinder 2">
          <a:extLst>
            <a:ext uri="{FF2B5EF4-FFF2-40B4-BE49-F238E27FC236}">
              <a16:creationId xmlns:a16="http://schemas.microsoft.com/office/drawing/2014/main" id="{6695E40A-952D-4F10-A6C8-E1A77292924A}"/>
            </a:ext>
          </a:extLst>
        </xdr:cNvPr>
        <xdr:cNvSpPr txBox="1"/>
      </xdr:nvSpPr>
      <xdr:spPr>
        <a:xfrm>
          <a:off x="11347540" y="4414838"/>
          <a:ext cx="12823472" cy="1130245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nb-NO" sz="1400" b="1"/>
            <a:t>For å se anbefalinger for din</a:t>
          </a:r>
          <a:r>
            <a:rPr lang="nb-NO" sz="1400" b="1" baseline="0"/>
            <a:t> kommune, skriv inn kommunenummer i Introduksjonsfanen.</a:t>
          </a:r>
        </a:p>
        <a:p>
          <a:endParaRPr lang="nb-NO" sz="1400" b="1" baseline="0">
            <a:solidFill>
              <a:schemeClr val="accent6"/>
            </a:solidFill>
            <a:effectLst/>
            <a:latin typeface="+mn-lt"/>
            <a:ea typeface="+mn-ea"/>
            <a:cs typeface="+mn-cs"/>
          </a:endParaRPr>
        </a:p>
        <a:p>
          <a:r>
            <a:rPr lang="nb-NO" sz="1400" b="1" baseline="0">
              <a:solidFill>
                <a:schemeClr val="accent6"/>
              </a:solidFill>
              <a:effectLst/>
              <a:latin typeface="+mn-lt"/>
              <a:ea typeface="+mn-ea"/>
              <a:cs typeface="+mn-cs"/>
            </a:rPr>
            <a:t>Celler som er grønne kan fylles ut av den enkelte kommune.</a:t>
          </a:r>
          <a:endParaRPr lang="nb-NO" sz="1400" b="1" baseline="0">
            <a:solidFill>
              <a:schemeClr val="accent6"/>
            </a:solidFill>
          </a:endParaRPr>
        </a:p>
        <a:p>
          <a:endParaRPr lang="nb-NO" sz="1400" b="1"/>
        </a:p>
        <a:p>
          <a:r>
            <a:rPr lang="nb-NO" sz="1600" b="1"/>
            <a:t>Viktig informasjon om resultater og justerbare</a:t>
          </a:r>
          <a:r>
            <a:rPr lang="nb-NO" sz="1600" b="1" baseline="0"/>
            <a:t> forutsetninger:</a:t>
          </a:r>
        </a:p>
        <a:p>
          <a:r>
            <a:rPr lang="nb-NO" sz="1100" b="0"/>
            <a:t>Dette arket viser anbefalte</a:t>
          </a:r>
          <a:r>
            <a:rPr lang="nb-NO" sz="1100" b="0" baseline="0"/>
            <a:t> minimumsnivåer på netto driftsresultat, risikojustert netto driftsresultat og disposisjonsfond, samt forventet netto driftsresultat ved stabil tjenesteproduksjon. Disse bygger på en rekke forutsetninger (se arket Forutsetninger), blant annet at forholdet mellom inntekter og utgifter vil være likt som det har vært de siste fem årene. Forutsetningene er blant annet satt for at kommunen skal opprettholde en stabil tjenesteproduksjon på lang sikt. </a:t>
          </a:r>
        </a:p>
        <a:p>
          <a:endParaRPr lang="nb-NO" sz="1100" b="0" baseline="0"/>
        </a:p>
        <a:p>
          <a:r>
            <a:rPr lang="nb-NO" sz="1100" b="0" baseline="0"/>
            <a:t>Under justerbare forutsetninger kan disse forutsetningene endres dersom du vet at kommunen vil f.eks. måtte investere mer eller mindre relativt til driftsutgiftene enn kommunen har gjort de siste 15 årene i gjennomsnitt. Dette gjøres ved å skrive inn et nytt prosenttall i den aktuelle raden mellom C8 og C14. Resultatene oppdateres automatisk. Ved å fylle inn regnskapstall i henhold til økonomiplaner og budsjetter i fanen "Inputdata" vil du få se hvordan modellvariablene i henhold til disse planene vil se ut. Disse kan veilede deg i å gjøre skjønnsmessige justeringer.</a:t>
          </a:r>
        </a:p>
        <a:p>
          <a:endParaRPr lang="nb-NO" sz="1100" b="0" baseline="0"/>
        </a:p>
        <a:p>
          <a:r>
            <a:rPr lang="nb-NO" sz="1100" b="1" baseline="0">
              <a:solidFill>
                <a:srgbClr val="FF0000"/>
              </a:solidFill>
            </a:rPr>
            <a:t>1. Dersom du har lagt inn skjønnsmessig justering brukes disse i modellen. </a:t>
          </a:r>
        </a:p>
        <a:p>
          <a:r>
            <a:rPr lang="nb-NO" sz="1100" b="1" baseline="0">
              <a:solidFill>
                <a:srgbClr val="FF0000"/>
              </a:solidFill>
            </a:rPr>
            <a:t>2. Om du har lagt inn budsjettall i fanen inputdata, men ikke lagt inn skjønnsmessig justering, benyttes tallene i G10-G19 i modellen. </a:t>
          </a:r>
        </a:p>
        <a:p>
          <a:r>
            <a:rPr lang="nb-NO" sz="1100" b="1" baseline="0">
              <a:solidFill>
                <a:srgbClr val="FF0000"/>
              </a:solidFill>
            </a:rPr>
            <a:t>3. Om du hverken har lagt inn skjønnsmessig vurdering eller budsjettall, benyttes historiske gjennomsnitt (D10-D19) i modellen.</a:t>
          </a:r>
        </a:p>
        <a:p>
          <a:endParaRPr lang="nb-NO" sz="1100" b="0" baseline="0"/>
        </a:p>
        <a:p>
          <a:r>
            <a:rPr lang="nb-NO" sz="1100" b="0" baseline="0"/>
            <a:t>Andre bakgrunnsdata for siste år med tilgjengelige regnskaper i KOSTRA finnes også i fanen "Inputdata".</a:t>
          </a:r>
        </a:p>
        <a:p>
          <a:endParaRPr lang="nb-NO" sz="1100" b="0" baseline="0"/>
        </a:p>
        <a:p>
          <a:r>
            <a:rPr lang="nb-NO" sz="1100" b="1" baseline="0"/>
            <a:t>Om investeringer som andel av driftskostnader</a:t>
          </a:r>
        </a:p>
        <a:p>
          <a:r>
            <a:rPr lang="nb-NO" sz="1100" b="0" baseline="0"/>
            <a:t>Investeringer i en kommune vil variere mye fra år til år. Siden modellens anbefalinger er langsiktige, bør investeringer som andel av driftsutgifter ikke justeres for midlertidige svingninger i investeringer, men kun dersom det planlegges å investere i en gjennomsnittlig høyere eller lavere takt enn de siste 15 årene. Dersom investeringer midlertidig vil være lavere forventes det at differansen settes av i investeringsfond og dersom de midlertidig er høyere forventes det at eksisterende investeringsfond benyttes. Dette for å kunne opprettholde en gjennomsnittlig fast investeringstakt.</a:t>
          </a:r>
        </a:p>
        <a:p>
          <a:endParaRPr lang="nb-NO" sz="1100" b="0" baseline="0"/>
        </a:p>
        <a:p>
          <a:r>
            <a:rPr lang="nb-NO" sz="1100" b="1" baseline="0"/>
            <a:t>Om maksimalt tillatt gjeld som andel av drifts- og renteinntekter</a:t>
          </a:r>
        </a:p>
        <a:p>
          <a:r>
            <a:rPr lang="nb-NO" sz="1100" b="0" baseline="0"/>
            <a:t>Som default tar modellen utgangspunkt kommunene ikke kan øke gjelda si som andel av inntektene. Så lenge dette er oppfylt vil kommunene i modellen gjeldsfinansiere investeringene så langt det er mulig og nødvendig. De kan selv justere hvilket gjeldsnivå du ønsker at din kommune skal styre mot på lang sikt ved å endre denne i justerbare forutsetninger celle C16.</a:t>
          </a:r>
        </a:p>
        <a:p>
          <a:endParaRPr lang="nb-NO" sz="1100" b="0" baseline="0"/>
        </a:p>
        <a:p>
          <a:r>
            <a:rPr lang="nb-NO" sz="1400" b="1" baseline="0">
              <a:solidFill>
                <a:schemeClr val="tx1"/>
              </a:solidFill>
              <a:effectLst/>
              <a:latin typeface="+mn-lt"/>
              <a:ea typeface="+mn-ea"/>
              <a:cs typeface="+mn-cs"/>
            </a:rPr>
            <a:t>Resultater</a:t>
          </a:r>
        </a:p>
        <a:p>
          <a:r>
            <a:rPr lang="nb-NO" sz="1200" b="0" baseline="0">
              <a:solidFill>
                <a:schemeClr val="tx1"/>
              </a:solidFill>
              <a:effectLst/>
              <a:latin typeface="+mn-lt"/>
              <a:ea typeface="+mn-ea"/>
              <a:cs typeface="+mn-cs"/>
            </a:rPr>
            <a:t>Alle figurer viser utvikling i henhold til modellen dersom risikojustert minimumsnivå for netto driftsresultat følges og at netto driftsresultat kun benyttes til å finansiere investeringer og bygge opp disposisjonsfond.</a:t>
          </a:r>
        </a:p>
        <a:p>
          <a:endParaRPr lang="nb-NO" sz="1100" b="1" baseline="0">
            <a:solidFill>
              <a:schemeClr val="tx1"/>
            </a:solidFill>
            <a:effectLst/>
            <a:latin typeface="+mn-lt"/>
            <a:ea typeface="+mn-ea"/>
            <a:cs typeface="+mn-cs"/>
          </a:endParaRPr>
        </a:p>
        <a:p>
          <a:r>
            <a:rPr lang="nb-NO" sz="1100" b="1" baseline="0">
              <a:solidFill>
                <a:schemeClr val="tx1"/>
              </a:solidFill>
              <a:effectLst/>
              <a:latin typeface="+mn-lt"/>
              <a:ea typeface="+mn-ea"/>
              <a:cs typeface="+mn-cs"/>
            </a:rPr>
            <a:t>Forventet netto driftsresultat ved stabil tjenesteproduksjon</a:t>
          </a:r>
        </a:p>
        <a:p>
          <a:r>
            <a:rPr lang="nb-NO" sz="1100" b="0" baseline="0">
              <a:solidFill>
                <a:schemeClr val="tx1"/>
              </a:solidFill>
              <a:effectLst/>
              <a:latin typeface="+mn-lt"/>
              <a:ea typeface="+mn-ea"/>
              <a:cs typeface="+mn-cs"/>
            </a:rPr>
            <a:t>Dette angir hvor stort netto driftsresultat kommunen kan forvente å oppnå dersom den inntekter og kostnader utvikler seg i tråd med forutsetningene gitt av enten de historiske gjennomsnittene i celle D8 til D14 eller etter dine skjønnsmessige justeringer dersom du ha gjort slike. Tallet vises som andel av driftsinntekter.</a:t>
          </a:r>
        </a:p>
        <a:p>
          <a:endParaRPr lang="nb-NO" sz="1100" b="0" baseline="0">
            <a:solidFill>
              <a:schemeClr val="tx1"/>
            </a:solidFill>
            <a:effectLst/>
            <a:latin typeface="+mn-lt"/>
            <a:ea typeface="+mn-ea"/>
            <a:cs typeface="+mn-cs"/>
          </a:endParaRPr>
        </a:p>
        <a:p>
          <a:r>
            <a:rPr lang="nb-NO" sz="1100" b="1" baseline="0">
              <a:solidFill>
                <a:schemeClr val="tx1"/>
              </a:solidFill>
              <a:effectLst/>
              <a:latin typeface="+mn-lt"/>
              <a:ea typeface="+mn-ea"/>
              <a:cs typeface="+mn-cs"/>
            </a:rPr>
            <a:t>Langsiktig minimumsnivå for netto driftsresultat</a:t>
          </a:r>
        </a:p>
        <a:p>
          <a:r>
            <a:rPr lang="nb-NO" sz="1100" b="0" baseline="0">
              <a:solidFill>
                <a:schemeClr val="tx1"/>
              </a:solidFill>
              <a:effectLst/>
              <a:latin typeface="+mn-lt"/>
              <a:ea typeface="+mn-ea"/>
              <a:cs typeface="+mn-cs"/>
            </a:rPr>
            <a:t>Dette angir det nettodriftsresultatet som er tilstrekkelig til å finansiere kommunens investeringer uten at kommunens gjeld som andel av inntektene øker. Dersom investeringene kan finansieres fullt ut av investeringsinntekter og låneopptak uten at gjelda som andel av kommunens inntekter øker vil dette minimumsnivået være lik null. Dette vil tilsi at kommunen vil ha en gjeldsbelastning som øker i takt med inntektsveksten og må anses som et absolutt minimum for hva som er bærekraftig på lang sikt. Modellen anbefaler ikke at man bør styre mot minimumsnivået, kun at kommunen ikke bør styre mot et netto driftsresultat som er lavere enn dette. Tallet vises som andel av driftsinntekter.</a:t>
          </a:r>
        </a:p>
        <a:p>
          <a:endParaRPr lang="nb-NO" sz="1100" b="0" baseline="0">
            <a:solidFill>
              <a:schemeClr val="tx1"/>
            </a:solidFill>
            <a:effectLst/>
            <a:latin typeface="+mn-lt"/>
            <a:ea typeface="+mn-ea"/>
            <a:cs typeface="+mn-cs"/>
          </a:endParaRPr>
        </a:p>
        <a:p>
          <a:r>
            <a:rPr lang="nb-NO" sz="1100" b="1" baseline="0">
              <a:solidFill>
                <a:schemeClr val="tx1"/>
              </a:solidFill>
              <a:effectLst/>
              <a:latin typeface="+mn-lt"/>
              <a:ea typeface="+mn-ea"/>
              <a:cs typeface="+mn-cs"/>
            </a:rPr>
            <a:t>Minimumsnivå for disposisjonsfond for å håndtere rimelig risiko</a:t>
          </a:r>
        </a:p>
        <a:p>
          <a:r>
            <a:rPr lang="nb-NO" sz="1100" b="0" baseline="0">
              <a:solidFill>
                <a:schemeClr val="tx1"/>
              </a:solidFill>
              <a:effectLst/>
              <a:latin typeface="+mn-lt"/>
              <a:ea typeface="+mn-ea"/>
              <a:cs typeface="+mn-cs"/>
            </a:rPr>
            <a:t>Minimumsnivået for disposisjonsfond er basert på den enkelte kommunes risikoprofil. Dersom kommunen har et mindre disposjonsfond enn det anbefalte nivået bør dette bygges opp gjennom en periode med noe høyere netto driftsresultater og avsetninger til disposisjonsfondet. Dersom deler av disposisjonsfondet er øremerket til andre formål bør modellens anbefalte minimumsnivå komme i tillegg til dette. Dersom kommunen opplever uforutsette inntektsbortfall eller kostnadsøkninger vil et slikt disposisjonsfond i alt bortsett fra de mest ekstreme tilfellene være tilstrekkelig til å dekke opp for det. Dersom deler av disposisjonsfondet benyttes i et år med slike uforutsett inntektssvikt eller kostnadsøkning, anbefales det at disposisjonsfondet bygges opp igjen når kommunen er tilbake til en normal situasjon igjen. Tallet vises som andel av driftsinntekter. Ettersom inntektene til kommunen vokser vil minimumsnivået for disposisjonsfond målt i kroner øke hvert år.</a:t>
          </a:r>
        </a:p>
        <a:p>
          <a:endParaRPr lang="nb-NO" sz="1100" b="0" baseline="0">
            <a:solidFill>
              <a:schemeClr val="tx1"/>
            </a:solidFill>
            <a:effectLst/>
            <a:latin typeface="+mn-lt"/>
            <a:ea typeface="+mn-ea"/>
            <a:cs typeface="+mn-cs"/>
          </a:endParaRPr>
        </a:p>
        <a:p>
          <a:r>
            <a:rPr lang="nb-NO" sz="1100" b="1" baseline="0">
              <a:solidFill>
                <a:schemeClr val="tx1"/>
              </a:solidFill>
              <a:effectLst/>
              <a:latin typeface="+mn-lt"/>
              <a:ea typeface="+mn-ea"/>
              <a:cs typeface="+mn-cs"/>
            </a:rPr>
            <a:t>Kortsiktig minimumsnivå for netto driftsresultat for å bygge opp disposisjonsfond</a:t>
          </a:r>
        </a:p>
        <a:p>
          <a:r>
            <a:rPr lang="nb-NO" sz="1100" b="0" baseline="0">
              <a:solidFill>
                <a:schemeClr val="tx1"/>
              </a:solidFill>
              <a:effectLst/>
              <a:latin typeface="+mn-lt"/>
              <a:ea typeface="+mn-ea"/>
              <a:cs typeface="+mn-cs"/>
            </a:rPr>
            <a:t>Dersom din kommune har et lavere disposisjonsfond enn det anbefalte minimumsnivået bør dette bygges opp gjennom økte netto driftsresultater. I modellen har vi satt fire år som periode for å bygge opp disposisjonsfondet i slike tilfeller. Det kortsiktige minimumsnivå for netto driftsresultat består av de langsiktige minimumsnivået pluss en fjerdedel av differansen mellom faktisk disposisjonsfond og anbefalt disposisjonsfond. Dersom kommunen har et disposisjonsfond som er tilstrekkelig stort til å håndtere rimelig risiko vil det kortsiktige minimumsnivået sammenfalle med det langsiktige minimumsnivået.</a:t>
          </a:r>
        </a:p>
        <a:p>
          <a:endParaRPr lang="nb-NO" sz="1100" b="0" baseline="0">
            <a:solidFill>
              <a:schemeClr val="tx1"/>
            </a:solidFill>
            <a:effectLst/>
            <a:latin typeface="+mn-lt"/>
            <a:ea typeface="+mn-ea"/>
            <a:cs typeface="+mn-cs"/>
          </a:endParaRPr>
        </a:p>
        <a:p>
          <a:endParaRPr lang="nb-NO" sz="1100" b="0" baseline="0">
            <a:solidFill>
              <a:schemeClr val="tx1"/>
            </a:solidFill>
            <a:effectLst/>
            <a:latin typeface="+mn-lt"/>
            <a:ea typeface="+mn-ea"/>
            <a:cs typeface="+mn-cs"/>
          </a:endParaRPr>
        </a:p>
        <a:p>
          <a:r>
            <a:rPr lang="nb-NO" sz="1100" b="1" i="0">
              <a:solidFill>
                <a:schemeClr val="tx1"/>
              </a:solidFill>
              <a:effectLst/>
              <a:latin typeface="+mn-lt"/>
              <a:ea typeface="+mn-ea"/>
              <a:cs typeface="+mn-cs"/>
            </a:rPr>
            <a:t>Ved</a:t>
          </a:r>
          <a:r>
            <a:rPr lang="nb-NO" sz="1100" b="1" i="0" baseline="0">
              <a:solidFill>
                <a:schemeClr val="tx1"/>
              </a:solidFill>
              <a:effectLst/>
              <a:latin typeface="+mn-lt"/>
              <a:ea typeface="+mn-ea"/>
              <a:cs typeface="+mn-cs"/>
            </a:rPr>
            <a:t> lavere forventet nettodriftsresultat enn beregnet risikojustert minimumsnivå for netto driftsresultat</a:t>
          </a:r>
          <a:endParaRPr lang="nb-NO" sz="1200" b="1" i="0">
            <a:effectLst/>
          </a:endParaRPr>
        </a:p>
        <a:p>
          <a:r>
            <a:rPr lang="nb-NO" sz="1100" b="0">
              <a:solidFill>
                <a:schemeClr val="tx1"/>
              </a:solidFill>
              <a:effectLst/>
              <a:latin typeface="+mn-lt"/>
              <a:ea typeface="+mn-ea"/>
              <a:cs typeface="+mn-cs"/>
            </a:rPr>
            <a:t>I</a:t>
          </a:r>
          <a:r>
            <a:rPr lang="nb-NO" sz="1100" b="0" baseline="0">
              <a:solidFill>
                <a:schemeClr val="tx1"/>
              </a:solidFill>
              <a:effectLst/>
              <a:latin typeface="+mn-lt"/>
              <a:ea typeface="+mn-ea"/>
              <a:cs typeface="+mn-cs"/>
            </a:rPr>
            <a:t> slike tilfeller vil tallet i cell I14 være negativt og rødt. Kommunen vil da ikke oppnå det anbefalte minimunsnivået på nettodriftsresultat og samtidig opprettholde veksten i driftsutgifter og investeringstakten, gitt modellens forutsetninger. Kommunen vil da måtte redusere veksten i driftsutgifter og/eller investeringstakten for å være på for å være på en langsiktig bærekraftig bane. Modellen gir ingen anbefalinger om hva det bør kuttes i, kun at det ikke vil være bærekraftig å fortsette med tilsvarende utgifts- og gjeldsvekst relativt til inntektsveksten som kommunen har hatt historisk eller det er lagt opp til i dine skjønnsmessige justeringer. I første figur fra venstre vises i rødt det akkumulerte merforbruket som ville blitt opparbeidet ved å kjøre med det beregnede minimumsnivået for netto driftsresultat og ikke justere kommunens utgiftsvekst.  Dersom kommunen forventede netto driftsresultat er høyere enn beregnet minimumsnivå for nettodriftsresultat vil kommunen ha rom for å redusere sin gjeldsandel, bygge opp finansformue eller øke drifts- eller investeringsutgifter.</a:t>
          </a:r>
          <a:endParaRPr lang="nb-NO" sz="1200">
            <a:effectLst/>
          </a:endParaRPr>
        </a:p>
        <a:p>
          <a:endParaRPr lang="nb-NO" sz="1200" b="0"/>
        </a:p>
      </xdr:txBody>
    </xdr:sp>
    <xdr:clientData/>
  </xdr:oneCellAnchor>
  <xdr:twoCellAnchor>
    <xdr:from>
      <xdr:col>0</xdr:col>
      <xdr:colOff>85724</xdr:colOff>
      <xdr:row>19</xdr:row>
      <xdr:rowOff>31750</xdr:rowOff>
    </xdr:from>
    <xdr:to>
      <xdr:col>4</xdr:col>
      <xdr:colOff>44449</xdr:colOff>
      <xdr:row>38</xdr:row>
      <xdr:rowOff>25400</xdr:rowOff>
    </xdr:to>
    <xdr:graphicFrame macro="">
      <xdr:nvGraphicFramePr>
        <xdr:cNvPr id="4" name="Diagram 3">
          <a:extLst>
            <a:ext uri="{FF2B5EF4-FFF2-40B4-BE49-F238E27FC236}">
              <a16:creationId xmlns:a16="http://schemas.microsoft.com/office/drawing/2014/main" id="{4542A091-A8AF-4407-9CA5-F1D421A24F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73378</xdr:colOff>
      <xdr:row>38</xdr:row>
      <xdr:rowOff>64911</xdr:rowOff>
    </xdr:from>
    <xdr:to>
      <xdr:col>8</xdr:col>
      <xdr:colOff>1190625</xdr:colOff>
      <xdr:row>58</xdr:row>
      <xdr:rowOff>86783</xdr:rowOff>
    </xdr:to>
    <xdr:graphicFrame macro="">
      <xdr:nvGraphicFramePr>
        <xdr:cNvPr id="5" name="Diagram 4">
          <a:extLst>
            <a:ext uri="{FF2B5EF4-FFF2-40B4-BE49-F238E27FC236}">
              <a16:creationId xmlns:a16="http://schemas.microsoft.com/office/drawing/2014/main" id="{D31C9098-8065-4106-A2E5-17EA44C6B8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69850</xdr:colOff>
      <xdr:row>19</xdr:row>
      <xdr:rowOff>25400</xdr:rowOff>
    </xdr:from>
    <xdr:to>
      <xdr:col>8</xdr:col>
      <xdr:colOff>1202531</xdr:colOff>
      <xdr:row>38</xdr:row>
      <xdr:rowOff>19050</xdr:rowOff>
    </xdr:to>
    <xdr:graphicFrame macro="">
      <xdr:nvGraphicFramePr>
        <xdr:cNvPr id="6" name="Diagram 5">
          <a:extLst>
            <a:ext uri="{FF2B5EF4-FFF2-40B4-BE49-F238E27FC236}">
              <a16:creationId xmlns:a16="http://schemas.microsoft.com/office/drawing/2014/main" id="{26A32A15-662D-4FCC-8031-0B5F4C6CC6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91723</xdr:colOff>
      <xdr:row>38</xdr:row>
      <xdr:rowOff>59267</xdr:rowOff>
    </xdr:from>
    <xdr:to>
      <xdr:col>4</xdr:col>
      <xdr:colOff>28222</xdr:colOff>
      <xdr:row>58</xdr:row>
      <xdr:rowOff>81139</xdr:rowOff>
    </xdr:to>
    <xdr:graphicFrame macro="">
      <xdr:nvGraphicFramePr>
        <xdr:cNvPr id="7" name="Diagram 6">
          <a:extLst>
            <a:ext uri="{FF2B5EF4-FFF2-40B4-BE49-F238E27FC236}">
              <a16:creationId xmlns:a16="http://schemas.microsoft.com/office/drawing/2014/main" id="{085F67A2-D0A5-4651-B1CE-45ADF90765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xdr:col>
      <xdr:colOff>694666</xdr:colOff>
      <xdr:row>4</xdr:row>
      <xdr:rowOff>1254</xdr:rowOff>
    </xdr:to>
    <xdr:pic>
      <xdr:nvPicPr>
        <xdr:cNvPr id="8" name="Bilde 7">
          <a:extLst>
            <a:ext uri="{FF2B5EF4-FFF2-40B4-BE49-F238E27FC236}">
              <a16:creationId xmlns:a16="http://schemas.microsoft.com/office/drawing/2014/main" id="{9776AF44-7F2C-4056-8BFC-E9B43ABAF1F3}"/>
            </a:ext>
          </a:extLst>
        </xdr:cNvPr>
        <xdr:cNvPicPr>
          <a:picLocks noChangeAspect="1"/>
        </xdr:cNvPicPr>
      </xdr:nvPicPr>
      <xdr:blipFill>
        <a:blip xmlns:r="http://schemas.openxmlformats.org/officeDocument/2006/relationships" r:embed="rId5"/>
        <a:stretch>
          <a:fillRect/>
        </a:stretch>
      </xdr:blipFill>
      <xdr:spPr>
        <a:xfrm>
          <a:off x="0" y="0"/>
          <a:ext cx="2447619" cy="1257143"/>
        </a:xfrm>
        <a:prstGeom prst="rect">
          <a:avLst/>
        </a:prstGeom>
      </xdr:spPr>
    </xdr:pic>
    <xdr:clientData/>
  </xdr:twoCellAnchor>
  <xdr:twoCellAnchor editAs="oneCell">
    <xdr:from>
      <xdr:col>1</xdr:col>
      <xdr:colOff>720372</xdr:colOff>
      <xdr:row>0</xdr:row>
      <xdr:rowOff>6350</xdr:rowOff>
    </xdr:from>
    <xdr:to>
      <xdr:col>3</xdr:col>
      <xdr:colOff>540934</xdr:colOff>
      <xdr:row>2</xdr:row>
      <xdr:rowOff>220486</xdr:rowOff>
    </xdr:to>
    <xdr:pic>
      <xdr:nvPicPr>
        <xdr:cNvPr id="9" name="Bilde 8">
          <a:extLst>
            <a:ext uri="{FF2B5EF4-FFF2-40B4-BE49-F238E27FC236}">
              <a16:creationId xmlns:a16="http://schemas.microsoft.com/office/drawing/2014/main" id="{416E2E29-1638-46F1-BDC5-3FA9058E36FF}"/>
            </a:ext>
          </a:extLst>
        </xdr:cNvPr>
        <xdr:cNvPicPr>
          <a:picLocks noChangeAspect="1"/>
        </xdr:cNvPicPr>
      </xdr:nvPicPr>
      <xdr:blipFill>
        <a:blip xmlns:r="http://schemas.openxmlformats.org/officeDocument/2006/relationships" r:embed="rId6"/>
        <a:stretch>
          <a:fillRect/>
        </a:stretch>
      </xdr:blipFill>
      <xdr:spPr>
        <a:xfrm>
          <a:off x="2470150" y="6350"/>
          <a:ext cx="3388468" cy="965200"/>
        </a:xfrm>
        <a:prstGeom prst="rect">
          <a:avLst/>
        </a:prstGeom>
      </xdr:spPr>
    </xdr:pic>
    <xdr:clientData/>
  </xdr:twoCellAnchor>
  <xdr:twoCellAnchor editAs="oneCell">
    <xdr:from>
      <xdr:col>3</xdr:col>
      <xdr:colOff>754945</xdr:colOff>
      <xdr:row>0</xdr:row>
      <xdr:rowOff>14111</xdr:rowOff>
    </xdr:from>
    <xdr:to>
      <xdr:col>7</xdr:col>
      <xdr:colOff>437885</xdr:colOff>
      <xdr:row>2</xdr:row>
      <xdr:rowOff>221337</xdr:rowOff>
    </xdr:to>
    <xdr:pic>
      <xdr:nvPicPr>
        <xdr:cNvPr id="2" name="Bilde 1">
          <a:extLst>
            <a:ext uri="{FF2B5EF4-FFF2-40B4-BE49-F238E27FC236}">
              <a16:creationId xmlns:a16="http://schemas.microsoft.com/office/drawing/2014/main" id="{2B71C675-840C-4F61-B9E6-DBCC22DCED68}"/>
            </a:ext>
          </a:extLst>
        </xdr:cNvPr>
        <xdr:cNvPicPr>
          <a:picLocks noChangeAspect="1"/>
        </xdr:cNvPicPr>
      </xdr:nvPicPr>
      <xdr:blipFill>
        <a:blip xmlns:r="http://schemas.openxmlformats.org/officeDocument/2006/relationships" r:embed="rId7"/>
        <a:stretch>
          <a:fillRect/>
        </a:stretch>
      </xdr:blipFill>
      <xdr:spPr>
        <a:xfrm>
          <a:off x="5870223" y="14111"/>
          <a:ext cx="5171722" cy="9582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9150080" cy="33528000"/>
    <mc:AlternateContent xmlns:mc="http://schemas.openxmlformats.org/markup-compatibility/2006" xmlns:a14="http://schemas.microsoft.com/office/drawing/2010/main">
      <mc:Choice Requires="a14">
        <xdr:sp macro="" textlink="">
          <xdr:nvSpPr>
            <xdr:cNvPr id="2" name="TekstSylinder 1">
              <a:extLst>
                <a:ext uri="{FF2B5EF4-FFF2-40B4-BE49-F238E27FC236}">
                  <a16:creationId xmlns:a16="http://schemas.microsoft.com/office/drawing/2014/main" id="{57C642E4-2359-4F16-A8E2-93315EF774CF}"/>
                </a:ext>
              </a:extLst>
            </xdr:cNvPr>
            <xdr:cNvSpPr txBox="1"/>
          </xdr:nvSpPr>
          <xdr:spPr>
            <a:xfrm>
              <a:off x="0" y="0"/>
              <a:ext cx="9150080" cy="335280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b="1">
                  <a:solidFill>
                    <a:schemeClr val="tx1"/>
                  </a:solidFill>
                  <a:effectLst/>
                  <a:latin typeface="+mn-lt"/>
                  <a:ea typeface="+mn-ea"/>
                  <a:cs typeface="+mn-cs"/>
                </a:rPr>
                <a:t>Overordnet om modellen:</a:t>
              </a:r>
              <a:endParaRPr lang="nb-NO">
                <a:effectLst/>
              </a:endParaRPr>
            </a:p>
            <a:p>
              <a:r>
                <a:rPr lang="nb-NO" sz="1100">
                  <a:solidFill>
                    <a:schemeClr val="tx1"/>
                  </a:solidFill>
                  <a:effectLst/>
                  <a:latin typeface="+mn-lt"/>
                  <a:ea typeface="+mn-ea"/>
                  <a:cs typeface="+mn-cs"/>
                </a:rPr>
                <a:t>Dette dokumentet dokumenterer modellen som gir anbefaling om minimumsnivå på netto driftsresultat. For å gjøre anbefalingene operasjonaliserebare er beregningen av anbefalt nivå direkte knyttet til poster i kommunenes «driftsregnskap», «investeringsregnskap» og «balanseregnskap».  Dette notatet dokumenterer hvordan anbefalingene er operasjonalisert og hvilke forutsetninger som legges til grunn.</a:t>
              </a:r>
              <a:endParaRPr lang="nb-NO">
                <a:effectLst/>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r>
                <a:rPr lang="nb-NO" sz="1100">
                  <a:solidFill>
                    <a:schemeClr val="tx1"/>
                  </a:solidFill>
                  <a:effectLst/>
                  <a:latin typeface="+mn-lt"/>
                  <a:ea typeface="+mn-ea"/>
                  <a:cs typeface="+mn-cs"/>
                </a:rPr>
                <a:t> Modellen bygger på en sentral målsetning om </a:t>
              </a:r>
              <a:r>
                <a:rPr lang="nb-NO" sz="1100" b="1">
                  <a:solidFill>
                    <a:schemeClr val="tx1"/>
                  </a:solidFill>
                  <a:effectLst/>
                  <a:latin typeface="+mn-lt"/>
                  <a:ea typeface="+mn-ea"/>
                  <a:cs typeface="+mn-cs"/>
                </a:rPr>
                <a:t>stabil tjenesteproduksjon</a:t>
              </a:r>
              <a:r>
                <a:rPr lang="nb-NO" sz="1100">
                  <a:solidFill>
                    <a:schemeClr val="tx1"/>
                  </a:solidFill>
                  <a:effectLst/>
                  <a:latin typeface="+mn-lt"/>
                  <a:ea typeface="+mn-ea"/>
                  <a:cs typeface="+mn-cs"/>
                </a:rPr>
                <a:t>. For å oppnå dette ligger det inne en delmålsetning om at kommunen må ha </a:t>
              </a:r>
              <a:r>
                <a:rPr lang="nb-NO" sz="1100" b="1">
                  <a:solidFill>
                    <a:schemeClr val="tx1"/>
                  </a:solidFill>
                  <a:effectLst/>
                  <a:latin typeface="+mn-lt"/>
                  <a:ea typeface="+mn-ea"/>
                  <a:cs typeface="+mn-cs"/>
                </a:rPr>
                <a:t>tilstrekkelig buffer</a:t>
              </a:r>
              <a:r>
                <a:rPr lang="nb-NO" sz="1100">
                  <a:solidFill>
                    <a:schemeClr val="tx1"/>
                  </a:solidFill>
                  <a:effectLst/>
                  <a:latin typeface="+mn-lt"/>
                  <a:ea typeface="+mn-ea"/>
                  <a:cs typeface="+mn-cs"/>
                </a:rPr>
                <a:t> til å kunne håndtere et gitt nivå på risiko. </a:t>
              </a:r>
            </a:p>
            <a:p>
              <a:endParaRPr lang="nb-NO" sz="1100">
                <a:solidFill>
                  <a:schemeClr val="tx1"/>
                </a:solidFill>
                <a:effectLst/>
                <a:latin typeface="+mn-lt"/>
                <a:ea typeface="+mn-ea"/>
                <a:cs typeface="+mn-cs"/>
              </a:endParaRPr>
            </a:p>
            <a:p>
              <a:r>
                <a:rPr lang="nb-NO" sz="1100">
                  <a:solidFill>
                    <a:schemeClr val="tx1"/>
                  </a:solidFill>
                  <a:effectLst/>
                  <a:latin typeface="+mn-lt"/>
                  <a:ea typeface="+mn-ea"/>
                  <a:cs typeface="+mn-cs"/>
                </a:rPr>
                <a:t>Modellen har ikke lagt til grunn noe eksplisitt mål om absolutt eller relativ formuesbevaring. Indirekte ligger det imidlertid en forutsetning om «absolutt» formuesbevaring av finanskapitalen. Dersom kommunen har mindre buffer enn minimumsanbefalingen knyttet til å kunne håndtere et gitt risikonivå, vil modellens anbefalte nivå på netto driftsresultat innebære en økning i finansiell formue.   </a:t>
              </a:r>
            </a:p>
            <a:p>
              <a:endParaRPr lang="nb-NO" sz="1100">
                <a:solidFill>
                  <a:schemeClr val="tx1"/>
                </a:solidFill>
                <a:effectLst/>
                <a:latin typeface="+mn-lt"/>
                <a:ea typeface="+mn-ea"/>
                <a:cs typeface="+mn-cs"/>
              </a:endParaRPr>
            </a:p>
            <a:p>
              <a:r>
                <a:rPr lang="nb-NO" sz="1100">
                  <a:solidFill>
                    <a:schemeClr val="tx1"/>
                  </a:solidFill>
                  <a:effectLst/>
                  <a:latin typeface="+mn-lt"/>
                  <a:ea typeface="+mn-ea"/>
                  <a:cs typeface="+mn-cs"/>
                </a:rPr>
                <a:t>Anbefalingen for minimumsnivå på netto driftsresultat har som utgangspunkt at kommunens gjeld ikke skal øke relativt til kommunens forventede sum inntekter. Dersom kommunen ikke vil</a:t>
              </a:r>
              <a:r>
                <a:rPr lang="nb-NO" sz="1100" baseline="0">
                  <a:solidFill>
                    <a:schemeClr val="tx1"/>
                  </a:solidFill>
                  <a:effectLst/>
                  <a:latin typeface="+mn-lt"/>
                  <a:ea typeface="+mn-ea"/>
                  <a:cs typeface="+mn-cs"/>
                </a:rPr>
                <a:t> kunne</a:t>
              </a:r>
              <a:r>
                <a:rPr lang="nb-NO" sz="1100">
                  <a:solidFill>
                    <a:schemeClr val="tx1"/>
                  </a:solidFill>
                  <a:effectLst/>
                  <a:latin typeface="+mn-lt"/>
                  <a:ea typeface="+mn-ea"/>
                  <a:cs typeface="+mn-cs"/>
                </a:rPr>
                <a:t> nå anbefalingen uten å øke gjelda relativt til inntektene sine anbefales kommunen å justere ned driftsutgifter eller investeringer. </a:t>
              </a:r>
            </a:p>
            <a:p>
              <a:r>
                <a:rPr lang="nb-NO" sz="1100">
                  <a:solidFill>
                    <a:schemeClr val="tx1"/>
                  </a:solidFill>
                  <a:effectLst/>
                  <a:latin typeface="+mn-lt"/>
                  <a:ea typeface="+mn-ea"/>
                  <a:cs typeface="+mn-cs"/>
                </a:rPr>
                <a:t>Tabellen nedenfor angir korrespondansen mellom forkortelser og regnskapsvariabler. Disse forkortelsene brukes for å angi presise definisjoner i ligningsform av hvordan modellen er bygd opp. I selve excelverktøyet har vi lagt til grunn kommunekassetall. </a:t>
              </a:r>
            </a:p>
            <a:p>
              <a:endParaRPr lang="nb-NO" sz="1100">
                <a:solidFill>
                  <a:schemeClr val="tx1"/>
                </a:solidFill>
                <a:effectLst/>
                <a:latin typeface="+mn-lt"/>
                <a:ea typeface="+mn-ea"/>
                <a:cs typeface="+mn-cs"/>
              </a:endParaRPr>
            </a:p>
            <a:p>
              <a:r>
                <a:rPr lang="nb-NO" sz="1100">
                  <a:solidFill>
                    <a:schemeClr val="tx1"/>
                  </a:solidFill>
                  <a:effectLst/>
                  <a:latin typeface="+mn-lt"/>
                  <a:ea typeface="+mn-ea"/>
                  <a:cs typeface="+mn-cs"/>
                </a:rPr>
                <a:t>Tabellen nedenfor angir korrespondansen mellom forkortelser og regnskapsvariabler. Disse forkortelsene brukes for å angi presise definisjoner i ligningsform av hvordan modellen er bygd opp. I selve excelverktøyet har vi lagt til grunn kommunekassetall. Modellen tar som utgangspunkt hvordan hver enkelt kommune har styrt økonomien sin. </a:t>
              </a:r>
              <a:r>
                <a:rPr lang="nb-NO" sz="1100" b="1">
                  <a:solidFill>
                    <a:schemeClr val="tx1"/>
                  </a:solidFill>
                  <a:effectLst/>
                  <a:latin typeface="+mn-lt"/>
                  <a:ea typeface="+mn-ea"/>
                  <a:cs typeface="+mn-cs"/>
                </a:rPr>
                <a:t>Dersom en kommune planlegger å styre økonomien annerledes enn den har gjort de siste 5-15 årene er det viktig at den enkelte kommune endrer forutsetningene i modellen for at den skal gi relevante anbefalinger.</a:t>
              </a:r>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r>
                <a:rPr lang="nb-NO" sz="1100">
                  <a:solidFill>
                    <a:schemeClr val="tx1"/>
                  </a:solidFill>
                  <a:effectLst/>
                  <a:latin typeface="+mn-lt"/>
                  <a:ea typeface="+mn-ea"/>
                  <a:cs typeface="+mn-cs"/>
                </a:rPr>
                <a:t> </a:t>
              </a: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r>
                <a:rPr lang="nb-NO" sz="1100" b="1">
                  <a:solidFill>
                    <a:schemeClr val="tx1"/>
                  </a:solidFill>
                  <a:effectLst/>
                  <a:latin typeface="+mn-lt"/>
                  <a:ea typeface="+mn-ea"/>
                  <a:cs typeface="+mn-cs"/>
                </a:rPr>
                <a:t>Stabil tjenesteproduksjon</a:t>
              </a:r>
            </a:p>
            <a:p>
              <a:r>
                <a:rPr lang="nb-NO" sz="1100">
                  <a:solidFill>
                    <a:schemeClr val="tx1"/>
                  </a:solidFill>
                  <a:effectLst/>
                  <a:latin typeface="+mn-lt"/>
                  <a:ea typeface="+mn-ea"/>
                  <a:cs typeface="+mn-cs"/>
                </a:rPr>
                <a:t>Oppsettet forklarer hvordan modellen operasjonaliserer konseptet «stabil tjenesteproduksjon». I dette konseptet ligger det at nivået på både driftsutgifter og investeringsutgifter skal være stabilt relativt til inntekter på sikt. Videre legges det til grunn at gjelden ikke kan vokse raskere enn inntektene.  </a:t>
              </a:r>
            </a:p>
            <a:p>
              <a:endParaRPr lang="nb-NO" sz="1100">
                <a:solidFill>
                  <a:schemeClr val="tx1"/>
                </a:solidFill>
                <a:effectLst/>
                <a:latin typeface="+mn-lt"/>
                <a:ea typeface="+mn-ea"/>
                <a:cs typeface="+mn-cs"/>
              </a:endParaRPr>
            </a:p>
            <a:p>
              <a:pPr/>
              <a14:m>
                <m:oMathPara xmlns:m="http://schemas.openxmlformats.org/officeDocument/2006/math">
                  <m:oMathParaPr>
                    <m:jc m:val="centerGroup"/>
                  </m:oMathParaPr>
                  <m:oMath xmlns:m="http://schemas.openxmlformats.org/officeDocument/2006/math">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𝐷𝑈</m:t>
                        </m:r>
                      </m:e>
                      <m:sub>
                        <m:r>
                          <a:rPr lang="ar-AE" sz="1100" i="1">
                            <a:solidFill>
                              <a:schemeClr val="tx1"/>
                            </a:solidFill>
                            <a:effectLst/>
                            <a:latin typeface="Cambria Math" panose="02040503050406030204" pitchFamily="18" charset="0"/>
                            <a:ea typeface="+mn-ea"/>
                            <a:cs typeface="+mn-cs"/>
                          </a:rPr>
                          <m:t>𝑡</m:t>
                        </m:r>
                      </m:sub>
                    </m:sSub>
                    <m:r>
                      <a:rPr lang="ar-AE" sz="1100" i="1">
                        <a:solidFill>
                          <a:schemeClr val="tx1"/>
                        </a:solidFill>
                        <a:effectLst/>
                        <a:latin typeface="Cambria Math" panose="02040503050406030204" pitchFamily="18" charset="0"/>
                        <a:ea typeface="+mn-ea"/>
                        <a:cs typeface="+mn-cs"/>
                      </a:rPr>
                      <m:t>=</m:t>
                    </m:r>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𝐸</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𝐷𝐼</m:t>
                        </m:r>
                      </m:e>
                      <m:sub>
                        <m:r>
                          <a:rPr lang="ar-AE" sz="1100" i="1">
                            <a:solidFill>
                              <a:schemeClr val="tx1"/>
                            </a:solidFill>
                            <a:effectLst/>
                            <a:latin typeface="Cambria Math" panose="02040503050406030204" pitchFamily="18" charset="0"/>
                            <a:ea typeface="+mn-ea"/>
                            <a:cs typeface="+mn-cs"/>
                          </a:rPr>
                          <m:t>𝑡</m:t>
                        </m:r>
                      </m:sub>
                    </m:sSub>
                    <m:r>
                      <a:rPr lang="ar-AE" sz="1100" i="1">
                        <a:solidFill>
                          <a:schemeClr val="tx1"/>
                        </a:solidFill>
                        <a:effectLst/>
                        <a:latin typeface="Cambria Math" panose="02040503050406030204" pitchFamily="18" charset="0"/>
                        <a:ea typeface="+mn-ea"/>
                        <a:cs typeface="+mn-cs"/>
                      </a:rPr>
                      <m:t>]+</m:t>
                    </m:r>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𝐸</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𝐹𝐼</m:t>
                        </m:r>
                      </m:e>
                      <m:sub>
                        <m:r>
                          <a:rPr lang="ar-AE" sz="1100" i="1">
                            <a:solidFill>
                              <a:schemeClr val="tx1"/>
                            </a:solidFill>
                            <a:effectLst/>
                            <a:latin typeface="Cambria Math" panose="02040503050406030204" pitchFamily="18" charset="0"/>
                            <a:ea typeface="+mn-ea"/>
                            <a:cs typeface="+mn-cs"/>
                          </a:rPr>
                          <m:t>𝑡</m:t>
                        </m:r>
                      </m:sub>
                    </m:sSub>
                    <m:r>
                      <a:rPr lang="ar-AE" sz="1100" i="1">
                        <a:solidFill>
                          <a:schemeClr val="tx1"/>
                        </a:solidFill>
                        <a:effectLst/>
                        <a:latin typeface="Cambria Math" panose="02040503050406030204" pitchFamily="18" charset="0"/>
                        <a:ea typeface="+mn-ea"/>
                        <a:cs typeface="+mn-cs"/>
                      </a:rPr>
                      <m:t>])∗</m:t>
                    </m:r>
                    <m:nary>
                      <m:naryPr>
                        <m:chr m:val="∑"/>
                        <m:limLoc m:val="undOvr"/>
                        <m:ctrlPr>
                          <a:rPr lang="ar-AE" sz="1100" i="1">
                            <a:solidFill>
                              <a:schemeClr val="tx1"/>
                            </a:solidFill>
                            <a:effectLst/>
                            <a:latin typeface="Cambria Math" panose="02040503050406030204" pitchFamily="18" charset="0"/>
                            <a:ea typeface="+mn-ea"/>
                            <a:cs typeface="+mn-cs"/>
                          </a:rPr>
                        </m:ctrlPr>
                      </m:naryPr>
                      <m:sub>
                        <m:r>
                          <a:rPr lang="ar-AE" sz="1100" i="1">
                            <a:solidFill>
                              <a:schemeClr val="tx1"/>
                            </a:solidFill>
                            <a:effectLst/>
                            <a:latin typeface="Cambria Math" panose="02040503050406030204" pitchFamily="18" charset="0"/>
                            <a:ea typeface="+mn-ea"/>
                            <a:cs typeface="+mn-cs"/>
                          </a:rPr>
                          <m:t>𝑥</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2015</m:t>
                        </m:r>
                      </m:sub>
                      <m:sup>
                        <m:r>
                          <a:rPr lang="ar-AE" sz="1100" i="1">
                            <a:solidFill>
                              <a:schemeClr val="tx1"/>
                            </a:solidFill>
                            <a:effectLst/>
                            <a:latin typeface="Cambria Math" panose="02040503050406030204" pitchFamily="18" charset="0"/>
                            <a:ea typeface="+mn-ea"/>
                            <a:cs typeface="+mn-cs"/>
                          </a:rPr>
                          <m:t>20</m:t>
                        </m:r>
                        <m:r>
                          <a:rPr lang="nb-NO" sz="1100" b="0" i="1">
                            <a:solidFill>
                              <a:schemeClr val="tx1"/>
                            </a:solidFill>
                            <a:effectLst/>
                            <a:latin typeface="Cambria Math" panose="02040503050406030204" pitchFamily="18" charset="0"/>
                            <a:ea typeface="+mn-ea"/>
                            <a:cs typeface="+mn-cs"/>
                          </a:rPr>
                          <m:t>20</m:t>
                        </m:r>
                      </m:sup>
                      <m:e>
                        <m:f>
                          <m:fPr>
                            <m:ctrlPr>
                              <a:rPr lang="ar-AE" sz="1100" i="1">
                                <a:solidFill>
                                  <a:schemeClr val="tx1"/>
                                </a:solidFill>
                                <a:effectLst/>
                                <a:latin typeface="Cambria Math" panose="02040503050406030204" pitchFamily="18" charset="0"/>
                                <a:ea typeface="+mn-ea"/>
                                <a:cs typeface="+mn-cs"/>
                              </a:rPr>
                            </m:ctrlPr>
                          </m:fPr>
                          <m:num>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𝐷𝑈</m:t>
                                </m:r>
                              </m:e>
                              <m:sub>
                                <m:r>
                                  <a:rPr lang="ar-AE" sz="1100" i="1">
                                    <a:solidFill>
                                      <a:schemeClr val="tx1"/>
                                    </a:solidFill>
                                    <a:effectLst/>
                                    <a:latin typeface="Cambria Math" panose="02040503050406030204" pitchFamily="18" charset="0"/>
                                    <a:ea typeface="+mn-ea"/>
                                    <a:cs typeface="+mn-cs"/>
                                  </a:rPr>
                                  <m:t>𝑥</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num>
                          <m:den>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𝐷𝐼</m:t>
                                </m:r>
                              </m:e>
                              <m:sub>
                                <m:r>
                                  <a:rPr lang="ar-AE" sz="1100" i="1">
                                    <a:solidFill>
                                      <a:schemeClr val="tx1"/>
                                    </a:solidFill>
                                    <a:effectLst/>
                                    <a:latin typeface="Cambria Math" panose="02040503050406030204" pitchFamily="18" charset="0"/>
                                    <a:ea typeface="+mn-ea"/>
                                    <a:cs typeface="+mn-cs"/>
                                  </a:rPr>
                                  <m:t>𝑥</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r>
                              <a:rPr lang="ar-AE" sz="1100" i="1">
                                <a:solidFill>
                                  <a:schemeClr val="tx1"/>
                                </a:solidFill>
                                <a:effectLst/>
                                <a:latin typeface="Cambria Math" panose="02040503050406030204" pitchFamily="18" charset="0"/>
                                <a:ea typeface="+mn-ea"/>
                                <a:cs typeface="+mn-cs"/>
                              </a:rPr>
                              <m:t>+</m:t>
                            </m:r>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𝐹𝐼</m:t>
                                </m:r>
                              </m:e>
                              <m:sub>
                                <m:r>
                                  <a:rPr lang="ar-AE" sz="1100" i="1">
                                    <a:solidFill>
                                      <a:schemeClr val="tx1"/>
                                    </a:solidFill>
                                    <a:effectLst/>
                                    <a:latin typeface="Cambria Math" panose="02040503050406030204" pitchFamily="18" charset="0"/>
                                    <a:ea typeface="+mn-ea"/>
                                    <a:cs typeface="+mn-cs"/>
                                  </a:rPr>
                                  <m:t>𝑥</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den>
                        </m:f>
                      </m:e>
                    </m:nary>
                  </m:oMath>
                </m:oMathPara>
              </a14:m>
              <a:endParaRPr lang="ar-AE" sz="1100">
                <a:solidFill>
                  <a:schemeClr val="tx1"/>
                </a:solidFill>
                <a:effectLst/>
                <a:latin typeface="+mn-lt"/>
                <a:ea typeface="+mn-ea"/>
                <a:cs typeface="+mn-cs"/>
              </a:endParaRPr>
            </a:p>
            <a:p>
              <a:endParaRPr lang="ar-AE" sz="1100">
                <a:solidFill>
                  <a:schemeClr val="tx1"/>
                </a:solidFill>
                <a:effectLst/>
                <a:latin typeface="+mn-lt"/>
                <a:ea typeface="+mn-ea"/>
                <a:cs typeface="+mn-cs"/>
              </a:endParaRPr>
            </a:p>
            <a:p>
              <a:r>
                <a:rPr lang="nb-NO" sz="1100">
                  <a:solidFill>
                    <a:schemeClr val="tx1"/>
                  </a:solidFill>
                  <a:effectLst/>
                  <a:latin typeface="+mn-lt"/>
                  <a:ea typeface="+mn-ea"/>
                  <a:cs typeface="+mn-cs"/>
                </a:rPr>
                <a:t>Ligningen ovenfor fastslår at for å oppnå stabil tjenesteproduksjon må nivået på driftsutgifter i år t (</a:t>
              </a:r>
              <a14:m>
                <m:oMath xmlns:m="http://schemas.openxmlformats.org/officeDocument/2006/math">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𝐷𝑈</m:t>
                      </m:r>
                    </m:e>
                    <m:sub>
                      <m:r>
                        <a:rPr lang="ar-AE" sz="1100" i="1">
                          <a:solidFill>
                            <a:schemeClr val="tx1"/>
                          </a:solidFill>
                          <a:effectLst/>
                          <a:latin typeface="Cambria Math" panose="02040503050406030204" pitchFamily="18" charset="0"/>
                          <a:ea typeface="+mn-ea"/>
                          <a:cs typeface="+mn-cs"/>
                        </a:rPr>
                        <m:t>𝑡</m:t>
                      </m:r>
                    </m:sub>
                  </m:sSub>
                  <m:r>
                    <a:rPr lang="ar-AE" sz="1100" i="1">
                      <a:solidFill>
                        <a:schemeClr val="tx1"/>
                      </a:solidFill>
                      <a:effectLst/>
                      <a:latin typeface="Cambria Math" panose="02040503050406030204" pitchFamily="18" charset="0"/>
                      <a:ea typeface="+mn-ea"/>
                      <a:cs typeface="+mn-cs"/>
                    </a:rPr>
                    <m:t>)</m:t>
                  </m:r>
                </m:oMath>
              </a14:m>
              <a:r>
                <a:rPr lang="nb-NO" sz="1100">
                  <a:solidFill>
                    <a:schemeClr val="tx1"/>
                  </a:solidFill>
                  <a:effectLst/>
                  <a:latin typeface="+mn-lt"/>
                  <a:ea typeface="+mn-ea"/>
                  <a:cs typeface="+mn-cs"/>
                </a:rPr>
                <a:t>tilsvare en fast andel av forventede inntekter, basert på historisk andel de siste fem åra (2013-2017). Nivået på driftsutgifter som andel av inntekter som tilsvarer stabil tjenesteproduksjon kan også justeres i modellen av kommunen selv.</a:t>
              </a:r>
            </a:p>
            <a:p>
              <a:endParaRPr lang="nb-NO" sz="1100">
                <a:solidFill>
                  <a:schemeClr val="tx1"/>
                </a:solidFill>
                <a:effectLst/>
                <a:latin typeface="+mn-lt"/>
                <a:ea typeface="+mn-ea"/>
                <a:cs typeface="+mn-cs"/>
              </a:endParaRPr>
            </a:p>
            <a:p>
              <a:r>
                <a:rPr lang="nb-NO" sz="1100">
                  <a:solidFill>
                    <a:schemeClr val="tx1"/>
                  </a:solidFill>
                  <a:effectLst/>
                  <a:latin typeface="+mn-lt"/>
                  <a:ea typeface="+mn-ea"/>
                  <a:cs typeface="+mn-cs"/>
                </a:rPr>
                <a:t>Driftsutgifter er definert som </a:t>
              </a:r>
              <a:r>
                <a:rPr lang="nb-NO" sz="1100" i="1">
                  <a:solidFill>
                    <a:schemeClr val="tx1"/>
                  </a:solidFill>
                  <a:effectLst/>
                  <a:latin typeface="+mn-lt"/>
                  <a:ea typeface="+mn-ea"/>
                  <a:cs typeface="+mn-cs"/>
                </a:rPr>
                <a:t>Sum driftsutgifter (B)-Avskrivinger (L18). </a:t>
              </a:r>
              <a:r>
                <a:rPr lang="nb-NO" sz="1100">
                  <a:solidFill>
                    <a:schemeClr val="tx1"/>
                  </a:solidFill>
                  <a:effectLst/>
                  <a:latin typeface="+mn-lt"/>
                  <a:ea typeface="+mn-ea"/>
                  <a:cs typeface="+mn-cs"/>
                </a:rPr>
                <a:t>Driftsinntekter definert som </a:t>
              </a:r>
              <a:r>
                <a:rPr lang="nb-NO" sz="1100" i="1">
                  <a:solidFill>
                    <a:schemeClr val="tx1"/>
                  </a:solidFill>
                  <a:effectLst/>
                  <a:latin typeface="+mn-lt"/>
                  <a:ea typeface="+mn-ea"/>
                  <a:cs typeface="+mn-cs"/>
                </a:rPr>
                <a:t>Sum driftsinntekter (A).</a:t>
              </a:r>
              <a:r>
                <a:rPr lang="nb-NO" sz="1100">
                  <a:solidFill>
                    <a:schemeClr val="tx1"/>
                  </a:solidFill>
                  <a:effectLst/>
                  <a:latin typeface="+mn-lt"/>
                  <a:ea typeface="+mn-ea"/>
                  <a:cs typeface="+mn-cs"/>
                </a:rPr>
                <a:t> Finansinntekter er definert som Renteinntekter, utbytte og eieruttak (L22).  Det er her implisitt antatt at Mottatte avdrag på utlån (L24) og Gevinst finansielle instrumenter (L23) er lik null på sikt. For noen kommuner vil en slik antagelse anses som urealistisk da de budsjetterer med forventede gevinster (eller tap) på finansielle instrumenter. Her er det verdt å merke seg at modellen viser økonomisk balanse på lang sikt. Slik vi vurderer det vil gevinster/tap på finansielle instrumenter på lang sikt forventes å gjenspeiles i økte/reduserte renteinntekter, utbytte og eieruttak fra de samme instrumentene ved at beregningsgrunnlaget for finansinntektene, det vil si finansformuen, øker. I den grad kommunen likevel mener det er grunnlag for at «forventet avkastning på finansformue» er høyere eller lavere enn det som fremgår av kun renteinntekter, utbygge og eieruttak kan dette justeres av den enkelte kommunen selv i modellen. </a:t>
              </a:r>
            </a:p>
            <a:p>
              <a:endParaRPr lang="nb-NO" sz="1100">
                <a:solidFill>
                  <a:schemeClr val="tx1"/>
                </a:solidFill>
                <a:effectLst/>
                <a:latin typeface="+mn-lt"/>
                <a:ea typeface="+mn-ea"/>
                <a:cs typeface="+mn-cs"/>
              </a:endParaRPr>
            </a:p>
            <a:p>
              <a:pPr/>
              <a14:m>
                <m:oMathPara xmlns:m="http://schemas.openxmlformats.org/officeDocument/2006/math">
                  <m:oMathParaPr>
                    <m:jc m:val="centerGroup"/>
                  </m:oMathParaPr>
                  <m:oMath xmlns:m="http://schemas.openxmlformats.org/officeDocument/2006/math">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𝐼</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r>
                      <a:rPr lang="ar-AE" sz="1100" i="1">
                        <a:solidFill>
                          <a:schemeClr val="tx1"/>
                        </a:solidFill>
                        <a:effectLst/>
                        <a:latin typeface="Cambria Math" panose="02040503050406030204" pitchFamily="18" charset="0"/>
                        <a:ea typeface="+mn-ea"/>
                        <a:cs typeface="+mn-cs"/>
                      </a:rPr>
                      <m:t>=</m:t>
                    </m:r>
                    <m:nary>
                      <m:naryPr>
                        <m:chr m:val="∑"/>
                        <m:limLoc m:val="undOvr"/>
                        <m:ctrlPr>
                          <a:rPr lang="ar-AE" sz="1100" i="1">
                            <a:solidFill>
                              <a:schemeClr val="tx1"/>
                            </a:solidFill>
                            <a:effectLst/>
                            <a:latin typeface="Cambria Math" panose="02040503050406030204" pitchFamily="18" charset="0"/>
                            <a:ea typeface="+mn-ea"/>
                            <a:cs typeface="+mn-cs"/>
                          </a:rPr>
                        </m:ctrlPr>
                      </m:naryPr>
                      <m:sub>
                        <m:r>
                          <a:rPr lang="ar-AE" sz="1100" i="1">
                            <a:solidFill>
                              <a:schemeClr val="tx1"/>
                            </a:solidFill>
                            <a:effectLst/>
                            <a:latin typeface="Cambria Math" panose="02040503050406030204" pitchFamily="18" charset="0"/>
                            <a:ea typeface="+mn-ea"/>
                            <a:cs typeface="+mn-cs"/>
                          </a:rPr>
                          <m:t>𝑥</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2006</m:t>
                        </m:r>
                      </m:sub>
                      <m:sup>
                        <m:r>
                          <a:rPr lang="ar-AE" sz="1100" i="1">
                            <a:solidFill>
                              <a:schemeClr val="tx1"/>
                            </a:solidFill>
                            <a:effectLst/>
                            <a:latin typeface="Cambria Math" panose="02040503050406030204" pitchFamily="18" charset="0"/>
                            <a:ea typeface="+mn-ea"/>
                            <a:cs typeface="+mn-cs"/>
                          </a:rPr>
                          <m:t>20</m:t>
                        </m:r>
                        <m:r>
                          <a:rPr lang="nb-NO" sz="1100" b="0" i="1">
                            <a:solidFill>
                              <a:schemeClr val="tx1"/>
                            </a:solidFill>
                            <a:effectLst/>
                            <a:latin typeface="Cambria Math" panose="02040503050406030204" pitchFamily="18" charset="0"/>
                            <a:ea typeface="+mn-ea"/>
                            <a:cs typeface="+mn-cs"/>
                          </a:rPr>
                          <m:t>20</m:t>
                        </m:r>
                      </m:sup>
                      <m:e>
                        <m:f>
                          <m:fPr>
                            <m:ctrlPr>
                              <a:rPr lang="ar-AE" sz="1100" i="1">
                                <a:solidFill>
                                  <a:schemeClr val="tx1"/>
                                </a:solidFill>
                                <a:effectLst/>
                                <a:latin typeface="Cambria Math" panose="02040503050406030204" pitchFamily="18" charset="0"/>
                                <a:ea typeface="+mn-ea"/>
                                <a:cs typeface="+mn-cs"/>
                              </a:rPr>
                            </m:ctrlPr>
                          </m:fPr>
                          <m:num>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𝐼</m:t>
                                </m:r>
                              </m:e>
                              <m:sub>
                                <m:r>
                                  <a:rPr lang="ar-AE" sz="1100" i="1">
                                    <a:solidFill>
                                      <a:schemeClr val="tx1"/>
                                    </a:solidFill>
                                    <a:effectLst/>
                                    <a:latin typeface="Cambria Math" panose="02040503050406030204" pitchFamily="18" charset="0"/>
                                    <a:ea typeface="+mn-ea"/>
                                    <a:cs typeface="+mn-cs"/>
                                  </a:rPr>
                                  <m:t>𝑥</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num>
                          <m:den>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𝐷𝑈</m:t>
                                </m:r>
                              </m:e>
                              <m:sub>
                                <m:r>
                                  <a:rPr lang="ar-AE" sz="1100" i="1">
                                    <a:solidFill>
                                      <a:schemeClr val="tx1"/>
                                    </a:solidFill>
                                    <a:effectLst/>
                                    <a:latin typeface="Cambria Math" panose="02040503050406030204" pitchFamily="18" charset="0"/>
                                    <a:ea typeface="+mn-ea"/>
                                    <a:cs typeface="+mn-cs"/>
                                  </a:rPr>
                                  <m:t>𝑥</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den>
                        </m:f>
                      </m:e>
                    </m:nary>
                    <m:r>
                      <a:rPr lang="ar-AE" sz="1100" i="1">
                        <a:solidFill>
                          <a:schemeClr val="tx1"/>
                        </a:solidFill>
                        <a:effectLst/>
                        <a:latin typeface="Cambria Math" panose="02040503050406030204" pitchFamily="18" charset="0"/>
                        <a:ea typeface="+mn-ea"/>
                        <a:cs typeface="+mn-cs"/>
                      </a:rPr>
                      <m:t>∗</m:t>
                    </m:r>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𝐷𝑈</m:t>
                        </m:r>
                      </m:e>
                      <m:sub>
                        <m:r>
                          <a:rPr lang="ar-AE" sz="1100" i="1">
                            <a:solidFill>
                              <a:schemeClr val="tx1"/>
                            </a:solidFill>
                            <a:effectLst/>
                            <a:latin typeface="Cambria Math" panose="02040503050406030204" pitchFamily="18" charset="0"/>
                            <a:ea typeface="+mn-ea"/>
                            <a:cs typeface="+mn-cs"/>
                          </a:rPr>
                          <m:t>𝑡</m:t>
                        </m:r>
                      </m:sub>
                    </m:sSub>
                  </m:oMath>
                </m:oMathPara>
              </a14:m>
              <a:endParaRPr lang="ar-AE" sz="1100">
                <a:solidFill>
                  <a:schemeClr val="tx1"/>
                </a:solidFill>
                <a:effectLst/>
                <a:latin typeface="+mn-lt"/>
                <a:ea typeface="+mn-ea"/>
                <a:cs typeface="+mn-cs"/>
              </a:endParaRPr>
            </a:p>
            <a:p>
              <a:endParaRPr lang="ar-AE" sz="1100" i="1">
                <a:solidFill>
                  <a:schemeClr val="tx1"/>
                </a:solidFill>
                <a:effectLst/>
                <a:latin typeface="+mn-lt"/>
                <a:ea typeface="+mn-ea"/>
                <a:cs typeface="+mn-cs"/>
              </a:endParaRPr>
            </a:p>
            <a:p>
              <a14:m>
                <m:oMath xmlns:m="http://schemas.openxmlformats.org/officeDocument/2006/math">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𝐼</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oMath>
              </a14:m>
              <a:r>
                <a:rPr lang="nb-NO" sz="1100">
                  <a:solidFill>
                    <a:schemeClr val="tx1"/>
                  </a:solidFill>
                  <a:effectLst/>
                  <a:latin typeface="+mn-lt"/>
                  <a:ea typeface="+mn-ea"/>
                  <a:cs typeface="+mn-cs"/>
                </a:rPr>
                <a:t>kan tolkes som nivået på investeringer kommunen bør ha over tid for å oppnå stabil tjenesteproduksjon. Vi bruker her et snitt over hele tolv år ettersom investeringer gjerne svinger mye fra år til år. Dersom det ikke trengs store investeringer ett enkeltår kan det tolkes som investeringer pluss nødvendige avsetninger til investeringsfond for å oppnå stabil tjenesteproduksjon på sikt. Investeringer er definert som </a:t>
              </a:r>
              <a:r>
                <a:rPr lang="nb-NO" sz="1100" i="1">
                  <a:solidFill>
                    <a:schemeClr val="tx1"/>
                  </a:solidFill>
                  <a:effectLst/>
                  <a:latin typeface="+mn-lt"/>
                  <a:ea typeface="+mn-ea"/>
                  <a:cs typeface="+mn-cs"/>
                </a:rPr>
                <a:t>Sum utgifter (B) </a:t>
              </a:r>
              <a:r>
                <a:rPr lang="nb-NO" sz="1100">
                  <a:solidFill>
                    <a:schemeClr val="tx1"/>
                  </a:solidFill>
                  <a:effectLst/>
                  <a:latin typeface="+mn-lt"/>
                  <a:ea typeface="+mn-ea"/>
                  <a:cs typeface="+mn-cs"/>
                </a:rPr>
                <a:t>i investeringsregnskap. Nivået på investeringsutgifter som andel av inntekter som tilsvarer stabil tjenesteproduksjon kan også justeres i modellen av kommunen selv.</a:t>
              </a:r>
            </a:p>
            <a:p>
              <a:endParaRPr lang="nb-NO" sz="1100">
                <a:solidFill>
                  <a:schemeClr val="tx1"/>
                </a:solidFill>
                <a:effectLst/>
                <a:latin typeface="+mn-lt"/>
                <a:ea typeface="+mn-ea"/>
                <a:cs typeface="+mn-cs"/>
              </a:endParaRPr>
            </a:p>
            <a:p>
              <a:pPr/>
              <a14:m>
                <m:oMathPara xmlns:m="http://schemas.openxmlformats.org/officeDocument/2006/math">
                  <m:oMathParaPr>
                    <m:jc m:val="centerGroup"/>
                  </m:oMathParaPr>
                  <m:oMath xmlns:m="http://schemas.openxmlformats.org/officeDocument/2006/math">
                    <m:f>
                      <m:fPr>
                        <m:ctrlPr>
                          <a:rPr lang="ar-AE" sz="1100" i="1">
                            <a:solidFill>
                              <a:schemeClr val="tx1"/>
                            </a:solidFill>
                            <a:effectLst/>
                            <a:latin typeface="Cambria Math" panose="02040503050406030204" pitchFamily="18" charset="0"/>
                            <a:ea typeface="+mn-ea"/>
                            <a:cs typeface="+mn-cs"/>
                          </a:rPr>
                        </m:ctrlPr>
                      </m:fPr>
                      <m:num>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𝐺𝑗𝑒𝑙𝑑</m:t>
                            </m:r>
                          </m:e>
                          <m:sub>
                            <m:r>
                              <a:rPr lang="ar-AE" sz="1100" i="1">
                                <a:solidFill>
                                  <a:schemeClr val="tx1"/>
                                </a:solidFill>
                                <a:effectLst/>
                                <a:latin typeface="Cambria Math" panose="02040503050406030204" pitchFamily="18" charset="0"/>
                                <a:ea typeface="+mn-ea"/>
                                <a:cs typeface="+mn-cs"/>
                              </a:rPr>
                              <m:t>𝑡</m:t>
                            </m:r>
                          </m:sub>
                        </m:sSub>
                      </m:num>
                      <m:den>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𝐸</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𝐷𝐼</m:t>
                            </m:r>
                          </m:e>
                          <m:sub>
                            <m:r>
                              <a:rPr lang="ar-AE" sz="1100" i="1">
                                <a:solidFill>
                                  <a:schemeClr val="tx1"/>
                                </a:solidFill>
                                <a:effectLst/>
                                <a:latin typeface="Cambria Math" panose="02040503050406030204" pitchFamily="18" charset="0"/>
                                <a:ea typeface="+mn-ea"/>
                                <a:cs typeface="+mn-cs"/>
                              </a:rPr>
                              <m:t>𝑡</m:t>
                            </m:r>
                          </m:sub>
                        </m:sSub>
                        <m:r>
                          <a:rPr lang="ar-AE" sz="1100" i="1">
                            <a:solidFill>
                              <a:schemeClr val="tx1"/>
                            </a:solidFill>
                            <a:effectLst/>
                            <a:latin typeface="Cambria Math" panose="02040503050406030204" pitchFamily="18" charset="0"/>
                            <a:ea typeface="+mn-ea"/>
                            <a:cs typeface="+mn-cs"/>
                          </a:rPr>
                          <m:t>]+</m:t>
                        </m:r>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𝐸</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𝐹𝐼</m:t>
                            </m:r>
                          </m:e>
                          <m:sub>
                            <m:r>
                              <a:rPr lang="ar-AE" sz="1100" i="1">
                                <a:solidFill>
                                  <a:schemeClr val="tx1"/>
                                </a:solidFill>
                                <a:effectLst/>
                                <a:latin typeface="Cambria Math" panose="02040503050406030204" pitchFamily="18" charset="0"/>
                                <a:ea typeface="+mn-ea"/>
                                <a:cs typeface="+mn-cs"/>
                              </a:rPr>
                              <m:t>𝑡</m:t>
                            </m:r>
                          </m:sub>
                        </m:sSub>
                        <m:r>
                          <a:rPr lang="ar-AE" sz="1100" i="1">
                            <a:solidFill>
                              <a:schemeClr val="tx1"/>
                            </a:solidFill>
                            <a:effectLst/>
                            <a:latin typeface="Cambria Math" panose="02040503050406030204" pitchFamily="18" charset="0"/>
                            <a:ea typeface="+mn-ea"/>
                            <a:cs typeface="+mn-cs"/>
                          </a:rPr>
                          <m:t>]</m:t>
                        </m:r>
                      </m:den>
                    </m:f>
                    <m:r>
                      <a:rPr lang="ar-AE" sz="1100" i="1">
                        <a:solidFill>
                          <a:schemeClr val="tx1"/>
                        </a:solidFill>
                        <a:effectLst/>
                        <a:latin typeface="Cambria Math" panose="02040503050406030204" pitchFamily="18" charset="0"/>
                        <a:ea typeface="+mn-ea"/>
                        <a:cs typeface="+mn-cs"/>
                      </a:rPr>
                      <m:t>&lt;=</m:t>
                    </m:r>
                    <m:r>
                      <a:rPr lang="ar-AE" sz="1100" i="1">
                        <a:solidFill>
                          <a:schemeClr val="tx1"/>
                        </a:solidFill>
                        <a:effectLst/>
                        <a:latin typeface="Cambria Math" panose="02040503050406030204" pitchFamily="18" charset="0"/>
                        <a:ea typeface="+mn-ea"/>
                        <a:cs typeface="+mn-cs"/>
                      </a:rPr>
                      <m:t>𝐾𝑜𝑛𝑠𝑡𝑎𝑛𝑡</m:t>
                    </m:r>
                  </m:oMath>
                </m:oMathPara>
              </a14:m>
              <a:endParaRPr lang="ar-AE" sz="1100">
                <a:solidFill>
                  <a:schemeClr val="tx1"/>
                </a:solidFill>
                <a:effectLst/>
                <a:latin typeface="+mn-lt"/>
                <a:ea typeface="+mn-ea"/>
                <a:cs typeface="+mn-cs"/>
              </a:endParaRPr>
            </a:p>
            <a:p>
              <a:endParaRPr lang="ar-AE" sz="1100">
                <a:solidFill>
                  <a:schemeClr val="tx1"/>
                </a:solidFill>
                <a:effectLst/>
                <a:latin typeface="+mn-lt"/>
                <a:ea typeface="+mn-ea"/>
                <a:cs typeface="+mn-cs"/>
              </a:endParaRPr>
            </a:p>
            <a:p>
              <a:r>
                <a:rPr lang="nb-NO" sz="1100">
                  <a:solidFill>
                    <a:schemeClr val="tx1"/>
                  </a:solidFill>
                  <a:effectLst/>
                  <a:latin typeface="+mn-lt"/>
                  <a:ea typeface="+mn-ea"/>
                  <a:cs typeface="+mn-cs"/>
                </a:rPr>
                <a:t>Krav om at gjelda ikke vokser raskere enn inntektene. Gjeld defineres som </a:t>
              </a:r>
              <a:r>
                <a:rPr lang="nb-NO" sz="1100" i="1">
                  <a:solidFill>
                    <a:schemeClr val="tx1"/>
                  </a:solidFill>
                  <a:effectLst/>
                  <a:latin typeface="+mn-lt"/>
                  <a:ea typeface="+mn-ea"/>
                  <a:cs typeface="+mn-cs"/>
                </a:rPr>
                <a:t>Sum Langsiktig Gjeld (E) – Pensjonsforpliktelse (2.4 og 5.4) -Konsernintern langsiktig gjeld (2.47+5.47+kap 47 i lånefond). </a:t>
              </a:r>
              <a:r>
                <a:rPr lang="nb-NO" sz="1100">
                  <a:solidFill>
                    <a:schemeClr val="tx1"/>
                  </a:solidFill>
                  <a:effectLst/>
                  <a:latin typeface="+mn-lt"/>
                  <a:ea typeface="+mn-ea"/>
                  <a:cs typeface="+mn-cs"/>
                </a:rPr>
                <a:t>Alle er poster i balanseregnskapet. Det ønskede langsiktige gjeldsnivået som andel av inntekter kan også justeres i modellen av kommunen selv. Modellen tar høyde for implikasjonene av slike justeringen i sine anbefalinger om minimumsnivå på netto driftsresultat. </a:t>
              </a:r>
            </a:p>
            <a:p>
              <a:endParaRPr lang="nb-NO" sz="1100">
                <a:solidFill>
                  <a:schemeClr val="tx1"/>
                </a:solidFill>
                <a:effectLst/>
                <a:latin typeface="+mn-lt"/>
                <a:ea typeface="+mn-ea"/>
                <a:cs typeface="+mn-cs"/>
              </a:endParaRPr>
            </a:p>
            <a:p>
              <a:r>
                <a:rPr lang="nb-NO" sz="1100" b="1">
                  <a:solidFill>
                    <a:schemeClr val="tx1"/>
                  </a:solidFill>
                  <a:effectLst/>
                  <a:latin typeface="+mn-lt"/>
                  <a:ea typeface="+mn-ea"/>
                  <a:cs typeface="+mn-cs"/>
                </a:rPr>
                <a:t>Netto driftsresultat </a:t>
              </a:r>
            </a:p>
            <a:p>
              <a:endParaRPr lang="nb-NO" sz="1100" b="1">
                <a:solidFill>
                  <a:schemeClr val="tx1"/>
                </a:solidFill>
                <a:effectLst/>
                <a:latin typeface="+mn-lt"/>
                <a:ea typeface="+mn-ea"/>
                <a:cs typeface="+mn-cs"/>
              </a:endParaRPr>
            </a:p>
            <a:p>
              <a:pPr/>
              <a14:m>
                <m:oMathPara xmlns:m="http://schemas.openxmlformats.org/officeDocument/2006/math">
                  <m:oMathParaPr>
                    <m:jc m:val="centerGroup"/>
                  </m:oMathParaPr>
                  <m:oMath xmlns:m="http://schemas.openxmlformats.org/officeDocument/2006/math">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𝑁𝐷𝑟</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r>
                      <a:rPr lang="ar-AE" sz="1100" i="1">
                        <a:solidFill>
                          <a:schemeClr val="tx1"/>
                        </a:solidFill>
                        <a:effectLst/>
                        <a:latin typeface="Cambria Math" panose="02040503050406030204" pitchFamily="18" charset="0"/>
                        <a:ea typeface="+mn-ea"/>
                        <a:cs typeface="+mn-cs"/>
                      </a:rPr>
                      <m:t>=</m:t>
                    </m:r>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𝐸</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𝐷𝐼</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r>
                      <a:rPr lang="ar-AE" sz="1100" i="1">
                        <a:solidFill>
                          <a:schemeClr val="tx1"/>
                        </a:solidFill>
                        <a:effectLst/>
                        <a:latin typeface="Cambria Math" panose="02040503050406030204" pitchFamily="18" charset="0"/>
                        <a:ea typeface="+mn-ea"/>
                        <a:cs typeface="+mn-cs"/>
                      </a:rPr>
                      <m:t>]−</m:t>
                    </m:r>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𝐷𝑈</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r>
                      <a:rPr lang="ar-AE" sz="1100" i="1">
                        <a:solidFill>
                          <a:schemeClr val="tx1"/>
                        </a:solidFill>
                        <a:effectLst/>
                        <a:latin typeface="Cambria Math" panose="02040503050406030204" pitchFamily="18" charset="0"/>
                        <a:ea typeface="+mn-ea"/>
                        <a:cs typeface="+mn-cs"/>
                      </a:rPr>
                      <m:t>−</m:t>
                    </m:r>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𝑅𝑈</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r>
                      <a:rPr lang="ar-AE" sz="1100" i="1">
                        <a:solidFill>
                          <a:schemeClr val="tx1"/>
                        </a:solidFill>
                        <a:effectLst/>
                        <a:latin typeface="Cambria Math" panose="02040503050406030204" pitchFamily="18" charset="0"/>
                        <a:ea typeface="+mn-ea"/>
                        <a:cs typeface="+mn-cs"/>
                      </a:rPr>
                      <m:t>−</m:t>
                    </m:r>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𝐴𝑣𝑑𝑟𝑎𝑔</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r>
                      <a:rPr lang="ar-AE" sz="1100" i="1">
                        <a:solidFill>
                          <a:schemeClr val="tx1"/>
                        </a:solidFill>
                        <a:effectLst/>
                        <a:latin typeface="Cambria Math" panose="02040503050406030204" pitchFamily="18" charset="0"/>
                        <a:ea typeface="+mn-ea"/>
                        <a:cs typeface="+mn-cs"/>
                      </a:rPr>
                      <m:t>+</m:t>
                    </m:r>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𝐸</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𝐹𝐼</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r>
                      <a:rPr lang="ar-AE" sz="1100" i="1">
                        <a:solidFill>
                          <a:schemeClr val="tx1"/>
                        </a:solidFill>
                        <a:effectLst/>
                        <a:latin typeface="Cambria Math" panose="02040503050406030204" pitchFamily="18" charset="0"/>
                        <a:ea typeface="+mn-ea"/>
                        <a:cs typeface="+mn-cs"/>
                      </a:rPr>
                      <m:t>]&gt;=</m:t>
                    </m:r>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𝐼</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r>
                      <a:rPr lang="ar-AE" sz="1100" i="1">
                        <a:solidFill>
                          <a:schemeClr val="tx1"/>
                        </a:solidFill>
                        <a:effectLst/>
                        <a:latin typeface="Cambria Math" panose="02040503050406030204" pitchFamily="18" charset="0"/>
                        <a:ea typeface="+mn-ea"/>
                        <a:cs typeface="+mn-cs"/>
                      </a:rPr>
                      <m:t>+</m:t>
                    </m:r>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𝐴𝑣</m:t>
                        </m:r>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𝑠</m:t>
                            </m:r>
                          </m:e>
                          <m:sub>
                            <m:r>
                              <a:rPr lang="ar-AE" sz="1100" i="1">
                                <a:solidFill>
                                  <a:schemeClr val="tx1"/>
                                </a:solidFill>
                                <a:effectLst/>
                                <a:latin typeface="Cambria Math" panose="02040503050406030204" pitchFamily="18" charset="0"/>
                                <a:ea typeface="+mn-ea"/>
                                <a:cs typeface="+mn-cs"/>
                              </a:rPr>
                              <m:t>𝑑𝑖𝑠𝑝𝑓</m:t>
                            </m:r>
                          </m:sub>
                        </m:sSub>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𝐸</m:t>
                    </m:r>
                    <m:r>
                      <a:rPr lang="ar-AE" sz="1100" i="1">
                        <a:solidFill>
                          <a:schemeClr val="tx1"/>
                        </a:solidFill>
                        <a:effectLst/>
                        <a:latin typeface="Cambria Math" panose="02040503050406030204" pitchFamily="18" charset="0"/>
                        <a:ea typeface="+mn-ea"/>
                        <a:cs typeface="+mn-cs"/>
                      </a:rPr>
                      <m:t>[</m:t>
                    </m:r>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𝐼𝑛𝑣</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𝑖𝑛𝑛𝑡</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r>
                      <a:rPr lang="ar-AE" sz="1100" i="1">
                        <a:solidFill>
                          <a:schemeClr val="tx1"/>
                        </a:solidFill>
                        <a:effectLst/>
                        <a:latin typeface="Cambria Math" panose="02040503050406030204" pitchFamily="18" charset="0"/>
                        <a:ea typeface="+mn-ea"/>
                        <a:cs typeface="+mn-cs"/>
                      </a:rPr>
                      <m:t>]−</m:t>
                    </m:r>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𝐵𝑟𝐿</m:t>
                        </m:r>
                        <m:r>
                          <a:rPr lang="nb-NO" sz="1100" i="1">
                            <a:solidFill>
                              <a:schemeClr val="tx1"/>
                            </a:solidFill>
                            <a:effectLst/>
                            <a:latin typeface="Cambria Math" panose="02040503050406030204" pitchFamily="18" charset="0"/>
                            <a:ea typeface="+mn-ea"/>
                            <a:cs typeface="+mn-cs"/>
                          </a:rPr>
                          <m:t>å</m:t>
                        </m:r>
                        <m:r>
                          <a:rPr lang="nb-NO" sz="1100" i="1">
                            <a:solidFill>
                              <a:schemeClr val="tx1"/>
                            </a:solidFill>
                            <a:effectLst/>
                            <a:latin typeface="Cambria Math" panose="02040503050406030204" pitchFamily="18" charset="0"/>
                            <a:ea typeface="+mn-ea"/>
                            <a:cs typeface="+mn-cs"/>
                          </a:rPr>
                          <m:t>𝑛𝑒𝑜𝑝𝑝𝑡𝑎𝑘</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r>
                      <a:rPr lang="ar-AE" sz="1100" i="1">
                        <a:solidFill>
                          <a:schemeClr val="tx1"/>
                        </a:solidFill>
                        <a:effectLst/>
                        <a:latin typeface="Cambria Math" panose="02040503050406030204" pitchFamily="18" charset="0"/>
                        <a:ea typeface="+mn-ea"/>
                        <a:cs typeface="+mn-cs"/>
                      </a:rPr>
                      <m:t> </m:t>
                    </m:r>
                  </m:oMath>
                </m:oMathPara>
              </a14:m>
              <a:endParaRPr lang="ar-AE" sz="1100">
                <a:solidFill>
                  <a:schemeClr val="tx1"/>
                </a:solidFill>
                <a:effectLst/>
                <a:latin typeface="+mn-lt"/>
                <a:ea typeface="+mn-ea"/>
                <a:cs typeface="+mn-cs"/>
              </a:endParaRPr>
            </a:p>
            <a:p>
              <a:endParaRPr lang="ar-AE"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a:solidFill>
                    <a:schemeClr val="tx1"/>
                  </a:solidFill>
                  <a:effectLst/>
                  <a:latin typeface="+mn-lt"/>
                  <a:ea typeface="+mn-ea"/>
                  <a:cs typeface="+mn-cs"/>
                </a:rPr>
                <a:t>Venstresida av ulikheten er nivået på netto driftsresultat kommunen vil oppnå dersom de styrer økonomien sin slik de har gjort historisk, gitt stabil tjenesteproduksjon og forventninger om langsiktig fremtidig inntektsvekst. Vi omtaler dette som kommunens forventede netto driftsresultat. Høyresida er minimumsnivået på nettodriftsresultat, gitt stabil tjenesteproduksjon og avsetninger til disposisjonsfond for risikohåndtering (dersom nødvendig). Minimumsnivået angir hvor høyt nettodriftsresultat må være for å finansiere investeringene og eventuelle avsetninger under forutsetning om at gjelden som andel av inntektene ikke øker. Renteutgifter defineres som </a:t>
              </a:r>
              <a:r>
                <a:rPr lang="nb-NO" sz="1100" i="1">
                  <a:solidFill>
                    <a:schemeClr val="tx1"/>
                  </a:solidFill>
                  <a:effectLst/>
                  <a:latin typeface="+mn-lt"/>
                  <a:ea typeface="+mn-ea"/>
                  <a:cs typeface="+mn-cs"/>
                </a:rPr>
                <a:t>Renteutgifter, provisjoner og andre finansutgifter (L26) i driftsregnskap. </a:t>
              </a:r>
              <a:r>
                <a:rPr lang="nb-NO" sz="1100">
                  <a:solidFill>
                    <a:schemeClr val="tx1"/>
                  </a:solidFill>
                  <a:effectLst/>
                  <a:latin typeface="+mn-lt"/>
                  <a:ea typeface="+mn-ea"/>
                  <a:cs typeface="+mn-cs"/>
                </a:rPr>
                <a:t> </a:t>
              </a:r>
            </a:p>
            <a:p>
              <a:endParaRPr lang="nb-NO" sz="1100">
                <a:solidFill>
                  <a:schemeClr val="tx1"/>
                </a:solidFill>
                <a:effectLst/>
                <a:latin typeface="+mn-lt"/>
                <a:ea typeface="+mn-ea"/>
                <a:cs typeface="+mn-cs"/>
              </a:endParaRPr>
            </a:p>
            <a:p>
              <a:r>
                <a:rPr lang="nb-NO" sz="1100">
                  <a:solidFill>
                    <a:schemeClr val="tx1"/>
                  </a:solidFill>
                  <a:effectLst/>
                  <a:latin typeface="+mn-lt"/>
                  <a:ea typeface="+mn-ea"/>
                  <a:cs typeface="+mn-cs"/>
                </a:rPr>
                <a:t>Nedenfor følger beskrivelse av hvordan vi beregner de ulike postene i ulikheten ovenfor:</a:t>
              </a:r>
            </a:p>
            <a:p>
              <a:endParaRPr lang="nb-NO" sz="1100">
                <a:solidFill>
                  <a:schemeClr val="tx1"/>
                </a:solidFill>
                <a:effectLst/>
                <a:latin typeface="+mn-lt"/>
                <a:ea typeface="+mn-ea"/>
                <a:cs typeface="+mn-cs"/>
              </a:endParaRPr>
            </a:p>
            <a:p>
              <a:pPr/>
              <a14:m>
                <m:oMathPara xmlns:m="http://schemas.openxmlformats.org/officeDocument/2006/math">
                  <m:oMathParaPr>
                    <m:jc m:val="centerGroup"/>
                  </m:oMathParaPr>
                  <m:oMath xmlns:m="http://schemas.openxmlformats.org/officeDocument/2006/math">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𝐸</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𝐷𝐼</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r>
                      <a:rPr lang="ar-AE" sz="1100" i="1">
                        <a:solidFill>
                          <a:schemeClr val="tx1"/>
                        </a:solidFill>
                        <a:effectLst/>
                        <a:latin typeface="Cambria Math" panose="02040503050406030204" pitchFamily="18" charset="0"/>
                        <a:ea typeface="+mn-ea"/>
                        <a:cs typeface="+mn-cs"/>
                      </a:rPr>
                      <m:t>]=</m:t>
                    </m:r>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𝐷𝐼</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1</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r>
                      <a:rPr lang="ar-AE" sz="1100" i="1">
                        <a:solidFill>
                          <a:schemeClr val="tx1"/>
                        </a:solidFill>
                        <a:effectLst/>
                        <a:latin typeface="Cambria Math" panose="02040503050406030204" pitchFamily="18" charset="0"/>
                        <a:ea typeface="+mn-ea"/>
                        <a:cs typeface="+mn-cs"/>
                      </a:rPr>
                      <m:t>∗</m:t>
                    </m:r>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𝐹𝑜𝑟𝑣𝑒𝑛𝑡𝑒𝑡</m:t>
                        </m:r>
                        <m:r>
                          <a:rPr lang="ar-AE" sz="1100" i="1">
                            <a:solidFill>
                              <a:schemeClr val="tx1"/>
                            </a:solidFill>
                            <a:effectLst/>
                            <a:latin typeface="Cambria Math" panose="02040503050406030204" pitchFamily="18" charset="0"/>
                            <a:ea typeface="+mn-ea"/>
                            <a:cs typeface="+mn-cs"/>
                          </a:rPr>
                          <m:t>_</m:t>
                        </m:r>
                        <m:r>
                          <a:rPr lang="ar-AE" sz="1100" i="1">
                            <a:solidFill>
                              <a:schemeClr val="tx1"/>
                            </a:solidFill>
                            <a:effectLst/>
                            <a:latin typeface="Cambria Math" panose="02040503050406030204" pitchFamily="18" charset="0"/>
                            <a:ea typeface="+mn-ea"/>
                            <a:cs typeface="+mn-cs"/>
                          </a:rPr>
                          <m:t>𝑣𝑒𝑘𝑠𝑡</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oMath>
                </m:oMathPara>
              </a14:m>
              <a:endParaRPr lang="ar-AE" sz="1100">
                <a:solidFill>
                  <a:schemeClr val="tx1"/>
                </a:solidFill>
                <a:effectLst/>
                <a:latin typeface="+mn-lt"/>
                <a:ea typeface="+mn-ea"/>
                <a:cs typeface="+mn-cs"/>
              </a:endParaRPr>
            </a:p>
            <a:p>
              <a:endParaRPr lang="ar-AE" sz="1100">
                <a:solidFill>
                  <a:schemeClr val="tx1"/>
                </a:solidFill>
                <a:effectLst/>
                <a:latin typeface="+mn-lt"/>
                <a:ea typeface="+mn-ea"/>
                <a:cs typeface="+mn-cs"/>
              </a:endParaRPr>
            </a:p>
            <a:p>
              <a:r>
                <a:rPr lang="nb-NO" sz="1100">
                  <a:solidFill>
                    <a:schemeClr val="tx1"/>
                  </a:solidFill>
                  <a:effectLst/>
                  <a:latin typeface="+mn-lt"/>
                  <a:ea typeface="+mn-ea"/>
                  <a:cs typeface="+mn-cs"/>
                </a:rPr>
                <a:t>Forventede driftsinntekter beregnes ved å ta fjorårets driftsinntekter multiplisert med langsiktig forventet vekst i driftsinntekter. For at modellens anbefaling skal sikte mot stabil tjenesteproduksjon er det viktig at man her legger til grunn den gjennomsnittlige forventede inntektsveksten på lang sikt (10-20 år). Som langsiktig prognose antar vi en nominell vekst på 3,5 prosent i driftsinntekter. Dersom dagens prisvekst i kommunal sektor holder seg konstant tilsvarer dette en realvekst på om lag 1 prosent. I modellen kan kommunen selv justere både forventet langsiktig prisvekst i kommunal sektor og forventet langsiktig realinntektsvekst hver for seg.</a:t>
              </a:r>
            </a:p>
            <a:p>
              <a:endParaRPr lang="nb-NO" sz="1100">
                <a:solidFill>
                  <a:schemeClr val="tx1"/>
                </a:solidFill>
                <a:effectLst/>
                <a:latin typeface="+mn-lt"/>
                <a:ea typeface="+mn-ea"/>
                <a:cs typeface="+mn-cs"/>
              </a:endParaRPr>
            </a:p>
            <a:p>
              <a:pPr/>
              <a14:m>
                <m:oMathPara xmlns:m="http://schemas.openxmlformats.org/officeDocument/2006/math">
                  <m:oMathParaPr>
                    <m:jc m:val="centerGroup"/>
                  </m:oMathParaPr>
                  <m:oMath xmlns:m="http://schemas.openxmlformats.org/officeDocument/2006/math">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𝐸</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𝐹𝐼</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r>
                      <a:rPr lang="ar-AE" sz="1100" i="1">
                        <a:solidFill>
                          <a:schemeClr val="tx1"/>
                        </a:solidFill>
                        <a:effectLst/>
                        <a:latin typeface="Cambria Math" panose="02040503050406030204" pitchFamily="18" charset="0"/>
                        <a:ea typeface="+mn-ea"/>
                        <a:cs typeface="+mn-cs"/>
                      </a:rPr>
                      <m:t>]=</m:t>
                    </m:r>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𝐸</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𝑎𝑣𝑘</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r>
                      <a:rPr lang="ar-AE" sz="1100" i="1">
                        <a:solidFill>
                          <a:schemeClr val="tx1"/>
                        </a:solidFill>
                        <a:effectLst/>
                        <a:latin typeface="Cambria Math" panose="02040503050406030204" pitchFamily="18" charset="0"/>
                        <a:ea typeface="+mn-ea"/>
                        <a:cs typeface="+mn-cs"/>
                      </a:rPr>
                      <m:t>]∗</m:t>
                    </m:r>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𝐹𝐹</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1</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r>
                      <a:rPr lang="ar-AE" sz="1100" i="1">
                        <a:solidFill>
                          <a:schemeClr val="tx1"/>
                        </a:solidFill>
                        <a:effectLst/>
                        <a:latin typeface="Cambria Math" panose="02040503050406030204" pitchFamily="18" charset="0"/>
                        <a:ea typeface="+mn-ea"/>
                        <a:cs typeface="+mn-cs"/>
                      </a:rPr>
                      <m:t>=</m:t>
                    </m:r>
                    <m:nary>
                      <m:naryPr>
                        <m:chr m:val="∑"/>
                        <m:limLoc m:val="undOvr"/>
                        <m:ctrlPr>
                          <a:rPr lang="ar-AE" sz="1100" i="1">
                            <a:solidFill>
                              <a:schemeClr val="tx1"/>
                            </a:solidFill>
                            <a:effectLst/>
                            <a:latin typeface="Cambria Math" panose="02040503050406030204" pitchFamily="18" charset="0"/>
                            <a:ea typeface="+mn-ea"/>
                            <a:cs typeface="+mn-cs"/>
                          </a:rPr>
                        </m:ctrlPr>
                      </m:naryPr>
                      <m:sub>
                        <m:r>
                          <a:rPr lang="ar-AE" sz="1100" i="1">
                            <a:solidFill>
                              <a:schemeClr val="tx1"/>
                            </a:solidFill>
                            <a:effectLst/>
                            <a:latin typeface="Cambria Math" panose="02040503050406030204" pitchFamily="18" charset="0"/>
                            <a:ea typeface="+mn-ea"/>
                            <a:cs typeface="+mn-cs"/>
                          </a:rPr>
                          <m:t>𝑥</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2015</m:t>
                        </m:r>
                      </m:sub>
                      <m:sup>
                        <m:r>
                          <a:rPr lang="ar-AE" sz="1100" i="1">
                            <a:solidFill>
                              <a:schemeClr val="tx1"/>
                            </a:solidFill>
                            <a:effectLst/>
                            <a:latin typeface="Cambria Math" panose="02040503050406030204" pitchFamily="18" charset="0"/>
                            <a:ea typeface="+mn-ea"/>
                            <a:cs typeface="+mn-cs"/>
                          </a:rPr>
                          <m:t>20</m:t>
                        </m:r>
                        <m:r>
                          <a:rPr lang="nb-NO" sz="1100" b="0" i="1">
                            <a:solidFill>
                              <a:schemeClr val="tx1"/>
                            </a:solidFill>
                            <a:effectLst/>
                            <a:latin typeface="Cambria Math" panose="02040503050406030204" pitchFamily="18" charset="0"/>
                            <a:ea typeface="+mn-ea"/>
                            <a:cs typeface="+mn-cs"/>
                          </a:rPr>
                          <m:t>20</m:t>
                        </m:r>
                      </m:sup>
                      <m:e>
                        <m:f>
                          <m:fPr>
                            <m:ctrlPr>
                              <a:rPr lang="ar-AE" sz="1100" i="1">
                                <a:solidFill>
                                  <a:schemeClr val="tx1"/>
                                </a:solidFill>
                                <a:effectLst/>
                                <a:latin typeface="Cambria Math" panose="02040503050406030204" pitchFamily="18" charset="0"/>
                                <a:ea typeface="+mn-ea"/>
                                <a:cs typeface="+mn-cs"/>
                              </a:rPr>
                            </m:ctrlPr>
                          </m:fPr>
                          <m:num>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𝐹𝐼</m:t>
                                </m:r>
                              </m:e>
                              <m:sub>
                                <m:r>
                                  <a:rPr lang="ar-AE" sz="1100" i="1">
                                    <a:solidFill>
                                      <a:schemeClr val="tx1"/>
                                    </a:solidFill>
                                    <a:effectLst/>
                                    <a:latin typeface="Cambria Math" panose="02040503050406030204" pitchFamily="18" charset="0"/>
                                    <a:ea typeface="+mn-ea"/>
                                    <a:cs typeface="+mn-cs"/>
                                  </a:rPr>
                                  <m:t>𝑥</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num>
                          <m:den>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𝐹𝐹</m:t>
                                </m:r>
                              </m:e>
                              <m:sub>
                                <m:r>
                                  <a:rPr lang="ar-AE" sz="1100" i="1">
                                    <a:solidFill>
                                      <a:schemeClr val="tx1"/>
                                    </a:solidFill>
                                    <a:effectLst/>
                                    <a:latin typeface="Cambria Math" panose="02040503050406030204" pitchFamily="18" charset="0"/>
                                    <a:ea typeface="+mn-ea"/>
                                    <a:cs typeface="+mn-cs"/>
                                  </a:rPr>
                                  <m:t>𝑥</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den>
                        </m:f>
                        <m:r>
                          <a:rPr lang="ar-AE" sz="1100" i="1">
                            <a:solidFill>
                              <a:schemeClr val="tx1"/>
                            </a:solidFill>
                            <a:effectLst/>
                            <a:latin typeface="Cambria Math" panose="02040503050406030204" pitchFamily="18" charset="0"/>
                            <a:ea typeface="+mn-ea"/>
                            <a:cs typeface="+mn-cs"/>
                          </a:rPr>
                          <m:t>∗</m:t>
                        </m:r>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𝐹𝐹</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1</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e>
                    </m:nary>
                  </m:oMath>
                </m:oMathPara>
              </a14:m>
              <a:endParaRPr lang="ar-AE" sz="1100">
                <a:solidFill>
                  <a:schemeClr val="tx1"/>
                </a:solidFill>
                <a:effectLst/>
                <a:latin typeface="+mn-lt"/>
                <a:ea typeface="+mn-ea"/>
                <a:cs typeface="+mn-cs"/>
              </a:endParaRPr>
            </a:p>
            <a:p>
              <a:endParaRPr lang="ar-AE" sz="1100" i="1">
                <a:solidFill>
                  <a:schemeClr val="tx1"/>
                </a:solidFill>
                <a:effectLst/>
                <a:latin typeface="+mn-lt"/>
                <a:ea typeface="+mn-ea"/>
                <a:cs typeface="+mn-cs"/>
              </a:endParaRPr>
            </a:p>
            <a:p>
              <a14:m>
                <m:oMath xmlns:m="http://schemas.openxmlformats.org/officeDocument/2006/math">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𝐸</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𝑎𝑣𝑘</m:t>
                      </m:r>
                    </m:e>
                    <m:sub>
                      <m:r>
                        <a:rPr lang="ar-AE" sz="1100" i="1">
                          <a:solidFill>
                            <a:schemeClr val="tx1"/>
                          </a:solidFill>
                          <a:effectLst/>
                          <a:latin typeface="Cambria Math" panose="02040503050406030204" pitchFamily="18" charset="0"/>
                          <a:ea typeface="+mn-ea"/>
                          <a:cs typeface="+mn-cs"/>
                        </a:rPr>
                        <m:t>𝑡</m:t>
                      </m:r>
                    </m:sub>
                  </m:sSub>
                  <m:r>
                    <a:rPr lang="ar-AE" sz="1100" i="1">
                      <a:solidFill>
                        <a:schemeClr val="tx1"/>
                      </a:solidFill>
                      <a:effectLst/>
                      <a:latin typeface="Cambria Math" panose="02040503050406030204" pitchFamily="18" charset="0"/>
                      <a:ea typeface="+mn-ea"/>
                      <a:cs typeface="+mn-cs"/>
                    </a:rPr>
                    <m:t>]</m:t>
                  </m:r>
                </m:oMath>
              </a14:m>
              <a:r>
                <a:rPr lang="nb-NO" sz="1100">
                  <a:solidFill>
                    <a:schemeClr val="tx1"/>
                  </a:solidFill>
                  <a:effectLst/>
                  <a:latin typeface="+mn-lt"/>
                  <a:ea typeface="+mn-ea"/>
                  <a:cs typeface="+mn-cs"/>
                </a:rPr>
                <a:t>forventet avkastning er basert på gjennomsnittlig avkastning på finansformue siste fem år. Finansinntekter (FI) er definert som </a:t>
              </a:r>
              <a:r>
                <a:rPr lang="nb-NO" sz="1100" i="1">
                  <a:solidFill>
                    <a:schemeClr val="tx1"/>
                  </a:solidFill>
                  <a:effectLst/>
                  <a:latin typeface="+mn-lt"/>
                  <a:ea typeface="+mn-ea"/>
                  <a:cs typeface="+mn-cs"/>
                </a:rPr>
                <a:t>Renteinntekter, utbytte og eieruttak (L22)</a:t>
              </a:r>
              <a:r>
                <a:rPr lang="nb-NO" sz="1100">
                  <a:solidFill>
                    <a:schemeClr val="tx1"/>
                  </a:solidFill>
                  <a:effectLst/>
                  <a:latin typeface="+mn-lt"/>
                  <a:ea typeface="+mn-ea"/>
                  <a:cs typeface="+mn-cs"/>
                </a:rPr>
                <a:t>. Finansiell formue (FF) er definert som «Sum Omløpsmidler - premieavvik (OM) - konserninterne fordringer (kortsiktige og langsiktige) + utlån + aksjer og andeler (AM)». Alle postene er hentet fra balanseregnskapet.</a:t>
              </a:r>
            </a:p>
            <a:p>
              <a:endParaRPr lang="nb-NO" sz="1100">
                <a:solidFill>
                  <a:schemeClr val="tx1"/>
                </a:solidFill>
                <a:effectLst/>
                <a:latin typeface="+mn-lt"/>
                <a:ea typeface="+mn-ea"/>
                <a:cs typeface="+mn-cs"/>
              </a:endParaRPr>
            </a:p>
            <a:p>
              <a:pPr/>
              <a14:m>
                <m:oMathPara xmlns:m="http://schemas.openxmlformats.org/officeDocument/2006/math">
                  <m:oMathParaPr>
                    <m:jc m:val="centerGroup"/>
                  </m:oMathParaPr>
                  <m:oMath xmlns:m="http://schemas.openxmlformats.org/officeDocument/2006/math">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𝐴𝑣𝑑𝑟𝑎𝑔</m:t>
                        </m:r>
                      </m:e>
                      <m:sub>
                        <m:r>
                          <a:rPr lang="ar-AE" sz="1100" i="1">
                            <a:solidFill>
                              <a:schemeClr val="tx1"/>
                            </a:solidFill>
                            <a:effectLst/>
                            <a:latin typeface="Cambria Math" panose="02040503050406030204" pitchFamily="18" charset="0"/>
                            <a:ea typeface="+mn-ea"/>
                            <a:cs typeface="+mn-cs"/>
                          </a:rPr>
                          <m:t>𝑡</m:t>
                        </m:r>
                      </m:sub>
                    </m:sSub>
                    <m:r>
                      <a:rPr lang="ar-AE" sz="1100" i="1">
                        <a:solidFill>
                          <a:schemeClr val="tx1"/>
                        </a:solidFill>
                        <a:effectLst/>
                        <a:latin typeface="Cambria Math" panose="02040503050406030204" pitchFamily="18" charset="0"/>
                        <a:ea typeface="+mn-ea"/>
                        <a:cs typeface="+mn-cs"/>
                      </a:rPr>
                      <m:t>=</m:t>
                    </m:r>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 </m:t>
                        </m:r>
                        <m:f>
                          <m:fPr>
                            <m:ctrlPr>
                              <a:rPr lang="ar-AE" sz="1100" i="1">
                                <a:solidFill>
                                  <a:schemeClr val="tx1"/>
                                </a:solidFill>
                                <a:effectLst/>
                                <a:latin typeface="Cambria Math" panose="02040503050406030204" pitchFamily="18" charset="0"/>
                                <a:ea typeface="+mn-ea"/>
                                <a:cs typeface="+mn-cs"/>
                              </a:rPr>
                            </m:ctrlPr>
                          </m:fPr>
                          <m:num>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𝐴𝑣𝑑𝑟𝑎𝑔</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1</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num>
                          <m:den>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𝐺𝑗𝑒𝑙𝑑</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2</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den>
                        </m:f>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𝐺𝑗𝑒𝑙𝑑</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1</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oMath>
                </m:oMathPara>
              </a14:m>
              <a:endParaRPr lang="ar-AE" sz="1100">
                <a:solidFill>
                  <a:schemeClr val="tx1"/>
                </a:solidFill>
                <a:effectLst/>
                <a:latin typeface="+mn-lt"/>
                <a:ea typeface="+mn-ea"/>
                <a:cs typeface="+mn-cs"/>
              </a:endParaRPr>
            </a:p>
            <a:p>
              <a:endParaRPr lang="ar-AE" sz="1100">
                <a:solidFill>
                  <a:schemeClr val="tx1"/>
                </a:solidFill>
                <a:effectLst/>
                <a:latin typeface="+mn-lt"/>
                <a:ea typeface="+mn-ea"/>
                <a:cs typeface="+mn-cs"/>
              </a:endParaRPr>
            </a:p>
            <a:p>
              <a:r>
                <a:rPr lang="nb-NO" sz="1100">
                  <a:solidFill>
                    <a:schemeClr val="tx1"/>
                  </a:solidFill>
                  <a:effectLst/>
                  <a:latin typeface="+mn-lt"/>
                  <a:ea typeface="+mn-ea"/>
                  <a:cs typeface="+mn-cs"/>
                </a:rPr>
                <a:t>Avdrag er definert som </a:t>
              </a:r>
              <a:r>
                <a:rPr lang="nb-NO" sz="1100" i="1">
                  <a:solidFill>
                    <a:schemeClr val="tx1"/>
                  </a:solidFill>
                  <a:effectLst/>
                  <a:latin typeface="+mn-lt"/>
                  <a:ea typeface="+mn-ea"/>
                  <a:cs typeface="+mn-cs"/>
                </a:rPr>
                <a:t>Avdragsutgifter (L28).</a:t>
              </a:r>
              <a:r>
                <a:rPr lang="nb-NO" sz="1100">
                  <a:solidFill>
                    <a:schemeClr val="tx1"/>
                  </a:solidFill>
                  <a:effectLst/>
                  <a:latin typeface="+mn-lt"/>
                  <a:ea typeface="+mn-ea"/>
                  <a:cs typeface="+mn-cs"/>
                </a:rPr>
                <a:t> Implisitt antagelse om at Utlån (L29) og Tap finansielle instrumenter (L23) er lik null på sikt. Størrelsen på avdrag baseres på kommunenes avdrag relativt til gjeld siste år, multiplisert med gjelda ved inngangen til året.</a:t>
              </a:r>
            </a:p>
            <a:p>
              <a:endParaRPr lang="nb-NO"/>
            </a:p>
            <a:p>
              <a:pPr/>
              <a14:m>
                <m:oMathPara xmlns:m="http://schemas.openxmlformats.org/officeDocument/2006/math">
                  <m:oMathParaPr>
                    <m:jc m:val="centerGroup"/>
                  </m:oMathParaPr>
                  <m:oMath xmlns:m="http://schemas.openxmlformats.org/officeDocument/2006/math">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𝑅𝑈</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r>
                      <a:rPr lang="ar-AE" sz="1100" i="1">
                        <a:solidFill>
                          <a:schemeClr val="tx1"/>
                        </a:solidFill>
                        <a:effectLst/>
                        <a:latin typeface="Cambria Math" panose="02040503050406030204" pitchFamily="18" charset="0"/>
                        <a:ea typeface="+mn-ea"/>
                        <a:cs typeface="+mn-cs"/>
                      </a:rPr>
                      <m:t>=</m:t>
                    </m:r>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𝐸</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𝑟</m:t>
                        </m:r>
                      </m:e>
                      <m:sub>
                        <m:r>
                          <a:rPr lang="ar-AE" sz="1100" i="1">
                            <a:solidFill>
                              <a:schemeClr val="tx1"/>
                            </a:solidFill>
                            <a:effectLst/>
                            <a:latin typeface="Cambria Math" panose="02040503050406030204" pitchFamily="18" charset="0"/>
                            <a:ea typeface="+mn-ea"/>
                            <a:cs typeface="+mn-cs"/>
                          </a:rPr>
                          <m:t>𝑡</m:t>
                        </m:r>
                      </m:sub>
                    </m:sSub>
                    <m:r>
                      <a:rPr lang="ar-AE" sz="1100" i="1">
                        <a:solidFill>
                          <a:schemeClr val="tx1"/>
                        </a:solidFill>
                        <a:effectLst/>
                        <a:latin typeface="Cambria Math" panose="02040503050406030204" pitchFamily="18" charset="0"/>
                        <a:ea typeface="+mn-ea"/>
                        <a:cs typeface="+mn-cs"/>
                      </a:rPr>
                      <m:t>]∗</m:t>
                    </m:r>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𝐺𝑗𝑒𝑙𝑑</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1</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oMath>
                </m:oMathPara>
              </a14:m>
              <a:endParaRPr lang="ar-AE" sz="1100">
                <a:solidFill>
                  <a:schemeClr val="tx1"/>
                </a:solidFill>
                <a:effectLst/>
                <a:latin typeface="+mn-lt"/>
                <a:ea typeface="+mn-ea"/>
                <a:cs typeface="+mn-cs"/>
              </a:endParaRPr>
            </a:p>
            <a:p>
              <a:endParaRPr lang="ar-AE" sz="1100">
                <a:solidFill>
                  <a:schemeClr val="tx1"/>
                </a:solidFill>
                <a:effectLst/>
                <a:latin typeface="+mn-lt"/>
                <a:ea typeface="+mn-ea"/>
                <a:cs typeface="+mn-cs"/>
              </a:endParaRPr>
            </a:p>
            <a:p>
              <a:r>
                <a:rPr lang="nb-NO" sz="1100">
                  <a:solidFill>
                    <a:schemeClr val="tx1"/>
                  </a:solidFill>
                  <a:effectLst/>
                  <a:latin typeface="+mn-lt"/>
                  <a:ea typeface="+mn-ea"/>
                  <a:cs typeface="+mn-cs"/>
                </a:rPr>
                <a:t>Renteutgifter (</a:t>
              </a:r>
              <a14:m>
                <m:oMath xmlns:m="http://schemas.openxmlformats.org/officeDocument/2006/math">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𝑅𝑈</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r>
                    <a:rPr lang="ar-AE" sz="1100" i="1">
                      <a:solidFill>
                        <a:schemeClr val="tx1"/>
                      </a:solidFill>
                      <a:effectLst/>
                      <a:latin typeface="Cambria Math" panose="02040503050406030204" pitchFamily="18" charset="0"/>
                      <a:ea typeface="+mn-ea"/>
                      <a:cs typeface="+mn-cs"/>
                    </a:rPr>
                    <m:t>)</m:t>
                  </m:r>
                </m:oMath>
              </a14:m>
              <a:r>
                <a:rPr lang="nb-NO" sz="1100">
                  <a:solidFill>
                    <a:schemeClr val="tx1"/>
                  </a:solidFill>
                  <a:effectLst/>
                  <a:latin typeface="+mn-lt"/>
                  <a:ea typeface="+mn-ea"/>
                  <a:cs typeface="+mn-cs"/>
                </a:rPr>
                <a:t>er basert på gjeld for fjoråret multiplisert med forventet rentenivå på gjelda, </a:t>
              </a:r>
              <a14:m>
                <m:oMath xmlns:m="http://schemas.openxmlformats.org/officeDocument/2006/math">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𝐸</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𝑟</m:t>
                      </m:r>
                    </m:e>
                    <m:sub>
                      <m:r>
                        <a:rPr lang="ar-AE" sz="1100" i="1">
                          <a:solidFill>
                            <a:schemeClr val="tx1"/>
                          </a:solidFill>
                          <a:effectLst/>
                          <a:latin typeface="Cambria Math" panose="02040503050406030204" pitchFamily="18" charset="0"/>
                          <a:ea typeface="+mn-ea"/>
                          <a:cs typeface="+mn-cs"/>
                        </a:rPr>
                        <m:t>𝑡</m:t>
                      </m:r>
                    </m:sub>
                  </m:sSub>
                  <m:r>
                    <a:rPr lang="ar-AE" sz="1100" i="1">
                      <a:solidFill>
                        <a:schemeClr val="tx1"/>
                      </a:solidFill>
                      <a:effectLst/>
                      <a:latin typeface="Cambria Math" panose="02040503050406030204" pitchFamily="18" charset="0"/>
                      <a:ea typeface="+mn-ea"/>
                      <a:cs typeface="+mn-cs"/>
                    </a:rPr>
                    <m:t>]</m:t>
                  </m:r>
                </m:oMath>
              </a14:m>
              <a:r>
                <a:rPr lang="ar-AE" sz="1100">
                  <a:solidFill>
                    <a:schemeClr val="tx1"/>
                  </a:solidFill>
                  <a:effectLst/>
                  <a:latin typeface="+mn-lt"/>
                  <a:ea typeface="+mn-ea"/>
                  <a:cs typeface="+mn-cs"/>
                </a:rPr>
                <a:t>, </a:t>
              </a:r>
              <a:r>
                <a:rPr lang="nb-NO" sz="1100">
                  <a:solidFill>
                    <a:schemeClr val="tx1"/>
                  </a:solidFill>
                  <a:effectLst/>
                  <a:latin typeface="+mn-lt"/>
                  <a:ea typeface="+mn-ea"/>
                  <a:cs typeface="+mn-cs"/>
                </a:rPr>
                <a:t>som er beregnet som sentralbankrente + gjennomsnittlig påslag på denne for kommunal sektor siste år. Forventet langsiktig rentenivå kan også justeres i modellen av kommunen selv.</a:t>
              </a:r>
            </a:p>
            <a:p>
              <a:endParaRPr lang="nb-NO" sz="1100">
                <a:solidFill>
                  <a:schemeClr val="tx1"/>
                </a:solidFill>
                <a:effectLst/>
                <a:latin typeface="+mn-lt"/>
                <a:ea typeface="+mn-ea"/>
                <a:cs typeface="+mn-cs"/>
              </a:endParaRPr>
            </a:p>
            <a:p>
              <a:pPr/>
              <a14:m>
                <m:oMathPara xmlns:m="http://schemas.openxmlformats.org/officeDocument/2006/math">
                  <m:oMathParaPr>
                    <m:jc m:val="centerGroup"/>
                  </m:oMathParaPr>
                  <m:oMath xmlns:m="http://schemas.openxmlformats.org/officeDocument/2006/math">
                    <m:r>
                      <a:rPr lang="nb-NO" sz="1100" i="1">
                        <a:solidFill>
                          <a:schemeClr val="tx1"/>
                        </a:solidFill>
                        <a:effectLst/>
                        <a:latin typeface="Cambria Math" panose="02040503050406030204" pitchFamily="18" charset="0"/>
                        <a:ea typeface="+mn-ea"/>
                        <a:cs typeface="+mn-cs"/>
                      </a:rPr>
                      <m:t>𝐸</m:t>
                    </m:r>
                    <m:r>
                      <a:rPr lang="nb-NO" sz="1100" i="1">
                        <a:solidFill>
                          <a:schemeClr val="tx1"/>
                        </a:solidFill>
                        <a:effectLst/>
                        <a:latin typeface="Cambria Math" panose="02040503050406030204" pitchFamily="18" charset="0"/>
                        <a:ea typeface="+mn-ea"/>
                        <a:cs typeface="+mn-cs"/>
                      </a:rPr>
                      <m:t>[</m:t>
                    </m:r>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𝐼𝑛𝑣</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𝑖𝑛𝑛𝑡</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r>
                      <a:rPr lang="ar-AE" sz="1100" i="1">
                        <a:solidFill>
                          <a:schemeClr val="tx1"/>
                        </a:solidFill>
                        <a:effectLst/>
                        <a:latin typeface="Cambria Math" panose="02040503050406030204" pitchFamily="18" charset="0"/>
                        <a:ea typeface="+mn-ea"/>
                        <a:cs typeface="+mn-cs"/>
                      </a:rPr>
                      <m:t>]=</m:t>
                    </m:r>
                    <m:nary>
                      <m:naryPr>
                        <m:chr m:val="∑"/>
                        <m:limLoc m:val="undOvr"/>
                        <m:ctrlPr>
                          <a:rPr lang="ar-AE" sz="1100" i="1">
                            <a:solidFill>
                              <a:schemeClr val="tx1"/>
                            </a:solidFill>
                            <a:effectLst/>
                            <a:latin typeface="Cambria Math" panose="02040503050406030204" pitchFamily="18" charset="0"/>
                            <a:ea typeface="+mn-ea"/>
                            <a:cs typeface="+mn-cs"/>
                          </a:rPr>
                        </m:ctrlPr>
                      </m:naryPr>
                      <m:sub>
                        <m:r>
                          <a:rPr lang="ar-AE" sz="1100" i="1">
                            <a:solidFill>
                              <a:schemeClr val="tx1"/>
                            </a:solidFill>
                            <a:effectLst/>
                            <a:latin typeface="Cambria Math" panose="02040503050406030204" pitchFamily="18" charset="0"/>
                            <a:ea typeface="+mn-ea"/>
                            <a:cs typeface="+mn-cs"/>
                          </a:rPr>
                          <m:t>𝑥</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2006</m:t>
                        </m:r>
                      </m:sub>
                      <m:sup>
                        <m:r>
                          <a:rPr lang="ar-AE" sz="1100" i="1">
                            <a:solidFill>
                              <a:schemeClr val="tx1"/>
                            </a:solidFill>
                            <a:effectLst/>
                            <a:latin typeface="Cambria Math" panose="02040503050406030204" pitchFamily="18" charset="0"/>
                            <a:ea typeface="+mn-ea"/>
                            <a:cs typeface="+mn-cs"/>
                          </a:rPr>
                          <m:t>20</m:t>
                        </m:r>
                        <m:r>
                          <a:rPr lang="nb-NO" sz="1100" b="0" i="1">
                            <a:solidFill>
                              <a:schemeClr val="tx1"/>
                            </a:solidFill>
                            <a:effectLst/>
                            <a:latin typeface="Cambria Math" panose="02040503050406030204" pitchFamily="18" charset="0"/>
                            <a:ea typeface="+mn-ea"/>
                            <a:cs typeface="+mn-cs"/>
                          </a:rPr>
                          <m:t>20</m:t>
                        </m:r>
                      </m:sup>
                      <m:e>
                        <m:f>
                          <m:fPr>
                            <m:ctrlPr>
                              <a:rPr lang="ar-AE" sz="1100" i="1">
                                <a:solidFill>
                                  <a:schemeClr val="tx1"/>
                                </a:solidFill>
                                <a:effectLst/>
                                <a:latin typeface="Cambria Math" panose="02040503050406030204" pitchFamily="18" charset="0"/>
                                <a:ea typeface="+mn-ea"/>
                                <a:cs typeface="+mn-cs"/>
                              </a:rPr>
                            </m:ctrlPr>
                          </m:fPr>
                          <m:num>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𝑖𝑛𝑣𝑖𝑛𝑛𝑡</m:t>
                                </m:r>
                              </m:e>
                              <m:sub>
                                <m:r>
                                  <a:rPr lang="ar-AE" sz="1100" i="1">
                                    <a:solidFill>
                                      <a:schemeClr val="tx1"/>
                                    </a:solidFill>
                                    <a:effectLst/>
                                    <a:latin typeface="Cambria Math" panose="02040503050406030204" pitchFamily="18" charset="0"/>
                                    <a:ea typeface="+mn-ea"/>
                                    <a:cs typeface="+mn-cs"/>
                                  </a:rPr>
                                  <m:t>𝑥</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num>
                          <m:den>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𝐼</m:t>
                                </m:r>
                              </m:e>
                              <m:sub>
                                <m:r>
                                  <a:rPr lang="ar-AE" sz="1100" i="1">
                                    <a:solidFill>
                                      <a:schemeClr val="tx1"/>
                                    </a:solidFill>
                                    <a:effectLst/>
                                    <a:latin typeface="Cambria Math" panose="02040503050406030204" pitchFamily="18" charset="0"/>
                                    <a:ea typeface="+mn-ea"/>
                                    <a:cs typeface="+mn-cs"/>
                                  </a:rPr>
                                  <m:t>𝑥</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den>
                        </m:f>
                      </m:e>
                    </m:nary>
                    <m:r>
                      <a:rPr lang="ar-AE" sz="1100" i="1">
                        <a:solidFill>
                          <a:schemeClr val="tx1"/>
                        </a:solidFill>
                        <a:effectLst/>
                        <a:latin typeface="Cambria Math" panose="02040503050406030204" pitchFamily="18" charset="0"/>
                        <a:ea typeface="+mn-ea"/>
                        <a:cs typeface="+mn-cs"/>
                      </a:rPr>
                      <m:t>∗</m:t>
                    </m:r>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𝐼</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oMath>
                </m:oMathPara>
              </a14:m>
              <a:endParaRPr lang="ar-AE" sz="1100">
                <a:solidFill>
                  <a:schemeClr val="tx1"/>
                </a:solidFill>
                <a:effectLst/>
                <a:latin typeface="+mn-lt"/>
                <a:ea typeface="+mn-ea"/>
                <a:cs typeface="+mn-cs"/>
              </a:endParaRPr>
            </a:p>
            <a:p>
              <a:endParaRPr lang="ar-AE" sz="1100">
                <a:solidFill>
                  <a:schemeClr val="tx1"/>
                </a:solidFill>
                <a:effectLst/>
                <a:latin typeface="+mn-lt"/>
                <a:ea typeface="+mn-ea"/>
                <a:cs typeface="+mn-cs"/>
              </a:endParaRPr>
            </a:p>
            <a:p>
              <a:r>
                <a:rPr lang="nb-NO" sz="1100">
                  <a:solidFill>
                    <a:schemeClr val="tx1"/>
                  </a:solidFill>
                  <a:effectLst/>
                  <a:latin typeface="+mn-lt"/>
                  <a:ea typeface="+mn-ea"/>
                  <a:cs typeface="+mn-cs"/>
                </a:rPr>
                <a:t>Forventede investeringsinntekter er basert på gjennomsnittlige investeringsinntekter som andel av investeringer siste tolv år multiplisert med minimumsnivået på realinvesteringer som følger av stabil tjenesteproduksjon. Investeringsinntekt: </a:t>
              </a:r>
              <a:r>
                <a:rPr lang="nb-NO" sz="1100" i="1">
                  <a:solidFill>
                    <a:schemeClr val="tx1"/>
                  </a:solidFill>
                  <a:effectLst/>
                  <a:latin typeface="+mn-lt"/>
                  <a:ea typeface="+mn-ea"/>
                  <a:cs typeface="+mn-cs"/>
                </a:rPr>
                <a:t>Sum inntekter (investeringsregnskap L9)-Salg av driftsmidler og fast eiendom (L2)-Bruk av lån. </a:t>
              </a:r>
              <a:r>
                <a:rPr lang="nb-NO" sz="1100">
                  <a:solidFill>
                    <a:schemeClr val="tx1"/>
                  </a:solidFill>
                  <a:effectLst/>
                  <a:latin typeface="+mn-lt"/>
                  <a:ea typeface="+mn-ea"/>
                  <a:cs typeface="+mn-cs"/>
                </a:rPr>
                <a:t>Salgsinntekter holdes utenfor andre investeringsinntekter, og er ikke en del av beregningen. Forventede investeringsinntekter legger til grunn at kommunen har samme sammensetningen av investeringene som den har hatt siste tolv år. </a:t>
              </a:r>
            </a:p>
            <a:p>
              <a:endParaRPr lang="nb-NO"/>
            </a:p>
            <a:p>
              <a:pPr/>
              <a14:m>
                <m:oMathPara xmlns:m="http://schemas.openxmlformats.org/officeDocument/2006/math">
                  <m:oMathParaPr>
                    <m:jc m:val="centerGroup"/>
                  </m:oMathParaPr>
                  <m:oMath xmlns:m="http://schemas.openxmlformats.org/officeDocument/2006/math">
                    <m:r>
                      <a:rPr lang="nb-NO" sz="1100" i="1">
                        <a:solidFill>
                          <a:schemeClr val="tx1"/>
                        </a:solidFill>
                        <a:effectLst/>
                        <a:latin typeface="Cambria Math" panose="02040503050406030204" pitchFamily="18" charset="0"/>
                        <a:ea typeface="+mn-ea"/>
                        <a:cs typeface="+mn-cs"/>
                      </a:rPr>
                      <m:t>𝐵𝑟</m:t>
                    </m:r>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𝐿</m:t>
                        </m:r>
                        <m:r>
                          <a:rPr lang="nb-NO" sz="1100" i="1">
                            <a:solidFill>
                              <a:schemeClr val="tx1"/>
                            </a:solidFill>
                            <a:effectLst/>
                            <a:latin typeface="Cambria Math" panose="02040503050406030204" pitchFamily="18" charset="0"/>
                            <a:ea typeface="+mn-ea"/>
                            <a:cs typeface="+mn-cs"/>
                          </a:rPr>
                          <m:t>å</m:t>
                        </m:r>
                        <m:r>
                          <a:rPr lang="nb-NO" sz="1100" i="1">
                            <a:solidFill>
                              <a:schemeClr val="tx1"/>
                            </a:solidFill>
                            <a:effectLst/>
                            <a:latin typeface="Cambria Math" panose="02040503050406030204" pitchFamily="18" charset="0"/>
                            <a:ea typeface="+mn-ea"/>
                            <a:cs typeface="+mn-cs"/>
                          </a:rPr>
                          <m:t>𝑛𝑒𝑜𝑝𝑝𝑡𝑎𝑘</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𝑚𝑖𝑛</m:t>
                    </m:r>
                    <m:d>
                      <m:dPr>
                        <m:begChr m:val="{"/>
                        <m:endChr m:val=""/>
                        <m:ctrlPr>
                          <a:rPr lang="ar-AE" sz="1100" i="1">
                            <a:solidFill>
                              <a:schemeClr val="tx1"/>
                            </a:solidFill>
                            <a:effectLst/>
                            <a:latin typeface="Cambria Math" panose="02040503050406030204" pitchFamily="18" charset="0"/>
                            <a:ea typeface="+mn-ea"/>
                            <a:cs typeface="+mn-cs"/>
                          </a:rPr>
                        </m:ctrlPr>
                      </m:dPr>
                      <m:e>
                        <m:eqArr>
                          <m:eqArrPr>
                            <m:ctrlPr>
                              <a:rPr lang="ar-AE" sz="1100" i="1">
                                <a:solidFill>
                                  <a:schemeClr val="tx1"/>
                                </a:solidFill>
                                <a:effectLst/>
                                <a:latin typeface="Cambria Math" panose="02040503050406030204" pitchFamily="18" charset="0"/>
                                <a:ea typeface="+mn-ea"/>
                                <a:cs typeface="+mn-cs"/>
                              </a:rPr>
                            </m:ctrlPr>
                          </m:eqArrPr>
                          <m:e>
                            <m:f>
                              <m:fPr>
                                <m:ctrlPr>
                                  <a:rPr lang="ar-AE" sz="1100" i="1">
                                    <a:solidFill>
                                      <a:schemeClr val="tx1"/>
                                    </a:solidFill>
                                    <a:effectLst/>
                                    <a:latin typeface="Cambria Math" panose="02040503050406030204" pitchFamily="18" charset="0"/>
                                    <a:ea typeface="+mn-ea"/>
                                    <a:cs typeface="+mn-cs"/>
                                  </a:rPr>
                                </m:ctrlPr>
                              </m:fPr>
                              <m:num>
                                <m:sSub>
                                  <m:sSubPr>
                                    <m:ctrlPr>
                                      <a:rPr lang="ar-AE" sz="1100" i="1">
                                        <a:solidFill>
                                          <a:schemeClr val="tx1"/>
                                        </a:solidFill>
                                        <a:effectLst/>
                                        <a:latin typeface="Cambria Math" panose="02040503050406030204" pitchFamily="18" charset="0"/>
                                        <a:ea typeface="+mn-ea"/>
                                        <a:cs typeface="+mn-cs"/>
                                      </a:rPr>
                                    </m:ctrlPr>
                                  </m:sSubPr>
                                  <m:e>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𝐸</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𝐷𝐼</m:t>
                                        </m:r>
                                      </m:e>
                                      <m:sub>
                                        <m:r>
                                          <a:rPr lang="ar-AE" sz="1100" i="1">
                                            <a:solidFill>
                                              <a:schemeClr val="tx1"/>
                                            </a:solidFill>
                                            <a:effectLst/>
                                            <a:latin typeface="Cambria Math" panose="02040503050406030204" pitchFamily="18" charset="0"/>
                                            <a:ea typeface="+mn-ea"/>
                                            <a:cs typeface="+mn-cs"/>
                                          </a:rPr>
                                          <m:t>𝑡</m:t>
                                        </m:r>
                                      </m:sub>
                                    </m:sSub>
                                    <m:r>
                                      <a:rPr lang="ar-AE" sz="1100" i="1">
                                        <a:solidFill>
                                          <a:schemeClr val="tx1"/>
                                        </a:solidFill>
                                        <a:effectLst/>
                                        <a:latin typeface="Cambria Math" panose="02040503050406030204" pitchFamily="18" charset="0"/>
                                        <a:ea typeface="+mn-ea"/>
                                        <a:cs typeface="+mn-cs"/>
                                      </a:rPr>
                                      <m:t>]+</m:t>
                                    </m:r>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𝐸</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𝐹𝐼</m:t>
                                        </m:r>
                                      </m:e>
                                      <m:sub>
                                        <m:r>
                                          <a:rPr lang="ar-AE" sz="1100" i="1">
                                            <a:solidFill>
                                              <a:schemeClr val="tx1"/>
                                            </a:solidFill>
                                            <a:effectLst/>
                                            <a:latin typeface="Cambria Math" panose="02040503050406030204" pitchFamily="18" charset="0"/>
                                            <a:ea typeface="+mn-ea"/>
                                            <a:cs typeface="+mn-cs"/>
                                          </a:rPr>
                                          <m:t>𝑡</m:t>
                                        </m:r>
                                      </m:sub>
                                    </m:sSub>
                                    <m:r>
                                      <a:rPr lang="ar-AE" sz="1100" i="1">
                                        <a:solidFill>
                                          <a:schemeClr val="tx1"/>
                                        </a:solidFill>
                                        <a:effectLst/>
                                        <a:latin typeface="Cambria Math" panose="02040503050406030204" pitchFamily="18" charset="0"/>
                                        <a:ea typeface="+mn-ea"/>
                                        <a:cs typeface="+mn-cs"/>
                                      </a:rPr>
                                      <m:t>] </m:t>
                                    </m:r>
                                  </m:e>
                                  <m:sub/>
                                </m:sSub>
                              </m:num>
                              <m:den>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𝐷𝐼</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1</m:t>
                                    </m:r>
                                  </m:sub>
                                </m:sSub>
                                <m:r>
                                  <a:rPr lang="ar-AE" sz="1100" i="1">
                                    <a:solidFill>
                                      <a:schemeClr val="tx1"/>
                                    </a:solidFill>
                                    <a:effectLst/>
                                    <a:latin typeface="Cambria Math" panose="02040503050406030204" pitchFamily="18" charset="0"/>
                                    <a:ea typeface="+mn-ea"/>
                                    <a:cs typeface="+mn-cs"/>
                                  </a:rPr>
                                  <m:t>+</m:t>
                                </m:r>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𝐹𝐼</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1</m:t>
                                    </m:r>
                                  </m:sub>
                                </m:sSub>
                              </m:den>
                            </m:f>
                            <m:r>
                              <a:rPr lang="ar-AE" sz="1100" i="1">
                                <a:solidFill>
                                  <a:schemeClr val="tx1"/>
                                </a:solidFill>
                                <a:effectLst/>
                                <a:latin typeface="Cambria Math" panose="02040503050406030204" pitchFamily="18" charset="0"/>
                                <a:ea typeface="+mn-ea"/>
                                <a:cs typeface="+mn-cs"/>
                              </a:rPr>
                              <m:t> </m:t>
                            </m:r>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𝐺𝑗𝑒𝑙𝑑</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1</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r>
                              <a:rPr lang="ar-AE" sz="1100" i="1">
                                <a:solidFill>
                                  <a:schemeClr val="tx1"/>
                                </a:solidFill>
                                <a:effectLst/>
                                <a:latin typeface="Cambria Math" panose="02040503050406030204" pitchFamily="18" charset="0"/>
                                <a:ea typeface="+mn-ea"/>
                                <a:cs typeface="+mn-cs"/>
                              </a:rPr>
                              <m:t>−</m:t>
                            </m:r>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𝐺𝑗𝑒𝑙𝑑</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1</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r>
                              <a:rPr lang="ar-AE" sz="1100" i="1">
                                <a:solidFill>
                                  <a:schemeClr val="tx1"/>
                                </a:solidFill>
                                <a:effectLst/>
                                <a:latin typeface="Cambria Math" panose="02040503050406030204" pitchFamily="18" charset="0"/>
                                <a:ea typeface="+mn-ea"/>
                                <a:cs typeface="+mn-cs"/>
                              </a:rPr>
                              <m:t>+</m:t>
                            </m:r>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𝐴𝑣𝑑𝑟𝑎𝑔</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e>
                          <m:e>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𝐼</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𝐸</m:t>
                            </m:r>
                            <m:r>
                              <a:rPr lang="ar-AE" sz="1100" i="1">
                                <a:solidFill>
                                  <a:schemeClr val="tx1"/>
                                </a:solidFill>
                                <a:effectLst/>
                                <a:latin typeface="Cambria Math" panose="02040503050406030204" pitchFamily="18" charset="0"/>
                                <a:ea typeface="+mn-ea"/>
                                <a:cs typeface="+mn-cs"/>
                              </a:rPr>
                              <m:t>[</m:t>
                            </m:r>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𝐼𝑛𝑣</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𝑖𝑛𝑛𝑡</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r>
                              <a:rPr lang="ar-AE" sz="1100" i="1">
                                <a:solidFill>
                                  <a:schemeClr val="tx1"/>
                                </a:solidFill>
                                <a:effectLst/>
                                <a:latin typeface="Cambria Math" panose="02040503050406030204" pitchFamily="18" charset="0"/>
                                <a:ea typeface="+mn-ea"/>
                                <a:cs typeface="+mn-cs"/>
                              </a:rPr>
                              <m:t>]</m:t>
                            </m:r>
                          </m:e>
                        </m:eqArr>
                      </m:e>
                    </m:d>
                  </m:oMath>
                </m:oMathPara>
              </a14:m>
              <a:endParaRPr lang="ar-AE" sz="1100">
                <a:solidFill>
                  <a:schemeClr val="tx1"/>
                </a:solidFill>
                <a:effectLst/>
                <a:latin typeface="+mn-lt"/>
                <a:ea typeface="+mn-ea"/>
                <a:cs typeface="+mn-cs"/>
              </a:endParaRPr>
            </a:p>
            <a:p>
              <a:endParaRPr lang="ar-AE" sz="1100">
                <a:solidFill>
                  <a:schemeClr val="tx1"/>
                </a:solidFill>
                <a:effectLst/>
                <a:latin typeface="+mn-lt"/>
                <a:ea typeface="+mn-ea"/>
                <a:cs typeface="+mn-cs"/>
              </a:endParaRPr>
            </a:p>
            <a:p>
              <a:r>
                <a:rPr lang="nb-NO" sz="1100">
                  <a:solidFill>
                    <a:schemeClr val="tx1"/>
                  </a:solidFill>
                  <a:effectLst/>
                  <a:latin typeface="+mn-lt"/>
                  <a:ea typeface="+mn-ea"/>
                  <a:cs typeface="+mn-cs"/>
                </a:rPr>
                <a:t>Brutto låneopptak er den laveste av 1) differansen mellom gjelda fra år t og t-1, korrigert for avdrag, gitt at gjelda som andel av inntektene forutsettes konstant og 2) Investeringer fratrukket forventede investeringsutgifter. Det sistnevnte kriteriet sikrer at anbefalt minimumsnivå på netto driftsresultat ikke blir negativt og at modellen ikke tillater låneopptak for å finansiere avsetninger til fond eller drift. Dersom det er det sistnevnte kriteriet som binder vil gjelda som andel av kommunens inntekter falle over tid dersom netto driftsresultater er lik det anbefalte minimumsnivået.</a:t>
              </a:r>
            </a:p>
            <a:p>
              <a:endParaRPr lang="nb-NO" sz="1100">
                <a:solidFill>
                  <a:schemeClr val="tx1"/>
                </a:solidFill>
                <a:effectLst/>
                <a:latin typeface="+mn-lt"/>
                <a:ea typeface="+mn-ea"/>
                <a:cs typeface="+mn-cs"/>
              </a:endParaRPr>
            </a:p>
            <a:p>
              <a:pPr/>
              <a14:m>
                <m:oMathPara xmlns:m="http://schemas.openxmlformats.org/officeDocument/2006/math">
                  <m:oMathParaPr>
                    <m:jc m:val="centerGroup"/>
                  </m:oMathParaPr>
                  <m:oMath xmlns:m="http://schemas.openxmlformats.org/officeDocument/2006/math">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𝐷𝐹</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r>
                      <a:rPr lang="ar-AE" sz="1100" i="1">
                        <a:solidFill>
                          <a:schemeClr val="tx1"/>
                        </a:solidFill>
                        <a:effectLst/>
                        <a:latin typeface="Cambria Math" panose="02040503050406030204" pitchFamily="18" charset="0"/>
                        <a:ea typeface="+mn-ea"/>
                        <a:cs typeface="+mn-cs"/>
                      </a:rPr>
                      <m:t>=</m:t>
                    </m:r>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𝐷𝐹</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1</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r>
                      <a:rPr lang="ar-AE" sz="1100" i="1">
                        <a:solidFill>
                          <a:schemeClr val="tx1"/>
                        </a:solidFill>
                        <a:effectLst/>
                        <a:latin typeface="Cambria Math" panose="02040503050406030204" pitchFamily="18" charset="0"/>
                        <a:ea typeface="+mn-ea"/>
                        <a:cs typeface="+mn-cs"/>
                      </a:rPr>
                      <m:t>+</m:t>
                    </m:r>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𝐴𝑣𝑠</m:t>
                        </m:r>
                        <m:r>
                          <a:rPr lang="ar-AE" sz="1100" i="1">
                            <a:solidFill>
                              <a:schemeClr val="tx1"/>
                            </a:solidFill>
                            <a:effectLst/>
                            <a:latin typeface="Cambria Math" panose="02040503050406030204" pitchFamily="18" charset="0"/>
                            <a:ea typeface="+mn-ea"/>
                            <a:cs typeface="+mn-cs"/>
                          </a:rPr>
                          <m:t>_</m:t>
                        </m:r>
                        <m:r>
                          <a:rPr lang="ar-AE" sz="1100" i="1">
                            <a:solidFill>
                              <a:schemeClr val="tx1"/>
                            </a:solidFill>
                            <a:effectLst/>
                            <a:latin typeface="Cambria Math" panose="02040503050406030204" pitchFamily="18" charset="0"/>
                            <a:ea typeface="+mn-ea"/>
                            <a:cs typeface="+mn-cs"/>
                          </a:rPr>
                          <m:t>𝑑𝑖𝑠𝑝𝑓</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oMath>
                </m:oMathPara>
              </a14:m>
              <a:endParaRPr lang="ar-AE" sz="1100">
                <a:solidFill>
                  <a:schemeClr val="tx1"/>
                </a:solidFill>
                <a:effectLst/>
                <a:latin typeface="+mn-lt"/>
                <a:ea typeface="+mn-ea"/>
                <a:cs typeface="+mn-cs"/>
              </a:endParaRPr>
            </a:p>
            <a:p>
              <a:endParaRPr lang="ar-AE" sz="1100" i="1">
                <a:solidFill>
                  <a:schemeClr val="tx1"/>
                </a:solidFill>
                <a:effectLst/>
                <a:latin typeface="+mn-lt"/>
                <a:ea typeface="+mn-ea"/>
                <a:cs typeface="+mn-cs"/>
              </a:endParaRPr>
            </a:p>
            <a:p>
              <a:r>
                <a:rPr lang="nb-NO" sz="1100" i="1">
                  <a:solidFill>
                    <a:schemeClr val="tx1"/>
                  </a:solidFill>
                  <a:effectLst/>
                  <a:latin typeface="+mn-lt"/>
                  <a:ea typeface="+mn-ea"/>
                  <a:cs typeface="+mn-cs"/>
                </a:rPr>
                <a:t>Disposisjonsfond (2.56 og 5.56 i balanse) </a:t>
              </a:r>
              <a:r>
                <a:rPr lang="nb-NO" sz="1100">
                  <a:solidFill>
                    <a:schemeClr val="tx1"/>
                  </a:solidFill>
                  <a:effectLst/>
                  <a:latin typeface="+mn-lt"/>
                  <a:ea typeface="+mn-ea"/>
                  <a:cs typeface="+mn-cs"/>
                </a:rPr>
                <a:t>er lik disposisjonsfondet året før pluss</a:t>
              </a:r>
              <a:r>
                <a:rPr lang="nb-NO" sz="1100" i="1">
                  <a:solidFill>
                    <a:schemeClr val="tx1"/>
                  </a:solidFill>
                  <a:effectLst/>
                  <a:latin typeface="+mn-lt"/>
                  <a:ea typeface="+mn-ea"/>
                  <a:cs typeface="+mn-cs"/>
                </a:rPr>
                <a:t> Avsetninger til disposisjonsfond (L42 i driftsregnskap).</a:t>
              </a:r>
            </a:p>
            <a:p>
              <a:endParaRPr lang="nb-NO" sz="1100">
                <a:solidFill>
                  <a:schemeClr val="tx1"/>
                </a:solidFill>
                <a:effectLst/>
                <a:latin typeface="+mn-lt"/>
                <a:ea typeface="+mn-ea"/>
                <a:cs typeface="+mn-cs"/>
              </a:endParaRPr>
            </a:p>
            <a:p>
              <a:r>
                <a:rPr lang="nb-NO" sz="1100" b="1">
                  <a:solidFill>
                    <a:schemeClr val="tx1"/>
                  </a:solidFill>
                  <a:effectLst/>
                  <a:latin typeface="+mn-lt"/>
                  <a:ea typeface="+mn-ea"/>
                  <a:cs typeface="+mn-cs"/>
                </a:rPr>
                <a:t>Risikohåndteringsevne</a:t>
              </a:r>
            </a:p>
            <a:p>
              <a:r>
                <a:rPr lang="nb-NO" sz="1100">
                  <a:solidFill>
                    <a:schemeClr val="tx1"/>
                  </a:solidFill>
                  <a:effectLst/>
                  <a:latin typeface="+mn-lt"/>
                  <a:ea typeface="+mn-ea"/>
                  <a:cs typeface="+mn-cs"/>
                </a:rPr>
                <a:t>Kravet til risikohåndteringsevne for å kunne opprettholde en stabil tjenesteproduksjon operasjonaliseres gjennom et minimumskrav til disposisjonsfond relativt til kommunens inntekter:</a:t>
              </a:r>
            </a:p>
            <a:p>
              <a:endParaRPr lang="nb-NO" sz="1100">
                <a:solidFill>
                  <a:schemeClr val="tx1"/>
                </a:solidFill>
                <a:effectLst/>
                <a:latin typeface="+mn-lt"/>
                <a:ea typeface="+mn-ea"/>
                <a:cs typeface="+mn-cs"/>
              </a:endParaRPr>
            </a:p>
            <a:p>
              <a:pPr/>
              <a14:m>
                <m:oMathPara xmlns:m="http://schemas.openxmlformats.org/officeDocument/2006/math">
                  <m:oMathParaPr>
                    <m:jc m:val="centerGroup"/>
                  </m:oMathParaPr>
                  <m:oMath xmlns:m="http://schemas.openxmlformats.org/officeDocument/2006/math">
                    <m:f>
                      <m:fPr>
                        <m:ctrlPr>
                          <a:rPr lang="ar-AE" sz="1100" i="1">
                            <a:solidFill>
                              <a:schemeClr val="tx1"/>
                            </a:solidFill>
                            <a:effectLst/>
                            <a:latin typeface="Cambria Math" panose="02040503050406030204" pitchFamily="18" charset="0"/>
                            <a:ea typeface="+mn-ea"/>
                            <a:cs typeface="+mn-cs"/>
                          </a:rPr>
                        </m:ctrlPr>
                      </m:fPr>
                      <m:num>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𝐷𝐹</m:t>
                            </m:r>
                          </m:e>
                          <m:sub>
                            <m:r>
                              <a:rPr lang="ar-AE" sz="1100" i="1">
                                <a:solidFill>
                                  <a:schemeClr val="tx1"/>
                                </a:solidFill>
                                <a:effectLst/>
                                <a:latin typeface="Cambria Math" panose="02040503050406030204" pitchFamily="18" charset="0"/>
                                <a:ea typeface="+mn-ea"/>
                                <a:cs typeface="+mn-cs"/>
                              </a:rPr>
                              <m:t>𝑡</m:t>
                            </m:r>
                          </m:sub>
                        </m:sSub>
                      </m:num>
                      <m:den>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𝐷𝐼</m:t>
                            </m:r>
                          </m:e>
                          <m:sub>
                            <m:r>
                              <a:rPr lang="ar-AE" sz="1100" i="1">
                                <a:solidFill>
                                  <a:schemeClr val="tx1"/>
                                </a:solidFill>
                                <a:effectLst/>
                                <a:latin typeface="Cambria Math" panose="02040503050406030204" pitchFamily="18" charset="0"/>
                                <a:ea typeface="+mn-ea"/>
                                <a:cs typeface="+mn-cs"/>
                              </a:rPr>
                              <m:t>𝑡</m:t>
                            </m:r>
                          </m:sub>
                        </m:sSub>
                      </m:den>
                    </m:f>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𝐹</m:t>
                    </m:r>
                    <m:r>
                      <a:rPr lang="ar-AE" sz="1100" i="1">
                        <a:solidFill>
                          <a:schemeClr val="tx1"/>
                        </a:solidFill>
                        <a:effectLst/>
                        <a:latin typeface="Cambria Math" panose="02040503050406030204" pitchFamily="18" charset="0"/>
                        <a:ea typeface="+mn-ea"/>
                        <a:cs typeface="+mn-cs"/>
                      </a:rPr>
                      <m:t>(</m:t>
                    </m:r>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𝑟𝑒𝐺</m:t>
                        </m:r>
                      </m:e>
                      <m:sub>
                        <m:r>
                          <a:rPr lang="ar-AE" sz="1100" i="1">
                            <a:solidFill>
                              <a:schemeClr val="tx1"/>
                            </a:solidFill>
                            <a:effectLst/>
                            <a:latin typeface="Cambria Math" panose="02040503050406030204" pitchFamily="18" charset="0"/>
                            <a:ea typeface="+mn-ea"/>
                            <a:cs typeface="+mn-cs"/>
                          </a:rPr>
                          <m:t>𝑡</m:t>
                        </m:r>
                      </m:sub>
                    </m:sSub>
                    <m:r>
                      <a:rPr lang="ar-AE" sz="1100" i="1">
                        <a:solidFill>
                          <a:schemeClr val="tx1"/>
                        </a:solidFill>
                        <a:effectLst/>
                        <a:latin typeface="Cambria Math" panose="02040503050406030204" pitchFamily="18" charset="0"/>
                        <a:ea typeface="+mn-ea"/>
                        <a:cs typeface="+mn-cs"/>
                      </a:rPr>
                      <m:t>,</m:t>
                    </m:r>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𝐹𝐹</m:t>
                        </m:r>
                      </m:e>
                      <m:sub>
                        <m:r>
                          <a:rPr lang="ar-AE" sz="1100" i="1">
                            <a:solidFill>
                              <a:schemeClr val="tx1"/>
                            </a:solidFill>
                            <a:effectLst/>
                            <a:latin typeface="Cambria Math" panose="02040503050406030204" pitchFamily="18" charset="0"/>
                            <a:ea typeface="+mn-ea"/>
                            <a:cs typeface="+mn-cs"/>
                          </a:rPr>
                          <m:t>𝑡</m:t>
                        </m:r>
                      </m:sub>
                    </m:sSub>
                    <m:r>
                      <a:rPr lang="ar-AE" sz="1100" i="1">
                        <a:solidFill>
                          <a:schemeClr val="tx1"/>
                        </a:solidFill>
                        <a:effectLst/>
                        <a:latin typeface="Cambria Math" panose="02040503050406030204" pitchFamily="18" charset="0"/>
                        <a:ea typeface="+mn-ea"/>
                        <a:cs typeface="+mn-cs"/>
                      </a:rPr>
                      <m:t>,</m:t>
                    </m:r>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𝑆𝐼</m:t>
                        </m:r>
                      </m:e>
                      <m:sub>
                        <m:r>
                          <a:rPr lang="ar-AE" sz="1100" i="1">
                            <a:solidFill>
                              <a:schemeClr val="tx1"/>
                            </a:solidFill>
                            <a:effectLst/>
                            <a:latin typeface="Cambria Math" panose="02040503050406030204" pitchFamily="18" charset="0"/>
                            <a:ea typeface="+mn-ea"/>
                            <a:cs typeface="+mn-cs"/>
                          </a:rPr>
                          <m:t>𝑡</m:t>
                        </m:r>
                      </m:sub>
                    </m:sSub>
                    <m:r>
                      <a:rPr lang="ar-AE" sz="1100" i="1">
                        <a:solidFill>
                          <a:schemeClr val="tx1"/>
                        </a:solidFill>
                        <a:effectLst/>
                        <a:latin typeface="Cambria Math" panose="02040503050406030204" pitchFamily="18" charset="0"/>
                        <a:ea typeface="+mn-ea"/>
                        <a:cs typeface="+mn-cs"/>
                      </a:rPr>
                      <m:t>[</m:t>
                    </m:r>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𝑆𝑘𝑎𝑡𝑡</m:t>
                        </m:r>
                        <m:r>
                          <a:rPr lang="ar-AE" sz="1100" i="1">
                            <a:solidFill>
                              <a:schemeClr val="tx1"/>
                            </a:solidFill>
                            <a:effectLst/>
                            <a:latin typeface="Cambria Math" panose="02040503050406030204" pitchFamily="18" charset="0"/>
                            <a:ea typeface="+mn-ea"/>
                            <a:cs typeface="+mn-cs"/>
                          </a:rPr>
                          <m:t>_</m:t>
                        </m:r>
                        <m:r>
                          <a:rPr lang="ar-AE" sz="1100" i="1">
                            <a:solidFill>
                              <a:schemeClr val="tx1"/>
                            </a:solidFill>
                            <a:effectLst/>
                            <a:latin typeface="Cambria Math" panose="02040503050406030204" pitchFamily="18" charset="0"/>
                            <a:ea typeface="+mn-ea"/>
                            <a:cs typeface="+mn-cs"/>
                          </a:rPr>
                          <m:t>𝑝𝑒𝑟</m:t>
                        </m:r>
                        <m:r>
                          <a:rPr lang="ar-AE" sz="1100" i="1">
                            <a:solidFill>
                              <a:schemeClr val="tx1"/>
                            </a:solidFill>
                            <a:effectLst/>
                            <a:latin typeface="Cambria Math" panose="02040503050406030204" pitchFamily="18" charset="0"/>
                            <a:ea typeface="+mn-ea"/>
                            <a:cs typeface="+mn-cs"/>
                          </a:rPr>
                          <m:t>_</m:t>
                        </m:r>
                        <m:r>
                          <a:rPr lang="ar-AE" sz="1100" i="1">
                            <a:solidFill>
                              <a:schemeClr val="tx1"/>
                            </a:solidFill>
                            <a:effectLst/>
                            <a:latin typeface="Cambria Math" panose="02040503050406030204" pitchFamily="18" charset="0"/>
                            <a:ea typeface="+mn-ea"/>
                            <a:cs typeface="+mn-cs"/>
                          </a:rPr>
                          <m:t>𝑖𝑛𝑛𝑏</m:t>
                        </m:r>
                        <m:r>
                          <a:rPr lang="ar-AE" sz="1100" i="1">
                            <a:solidFill>
                              <a:schemeClr val="tx1"/>
                            </a:solidFill>
                            <a:effectLst/>
                            <a:latin typeface="Cambria Math" panose="02040503050406030204" pitchFamily="18" charset="0"/>
                            <a:ea typeface="+mn-ea"/>
                            <a:cs typeface="+mn-cs"/>
                          </a:rPr>
                          <m:t>_</m:t>
                        </m:r>
                        <m:r>
                          <a:rPr lang="ar-AE" sz="1100" i="1">
                            <a:solidFill>
                              <a:schemeClr val="tx1"/>
                            </a:solidFill>
                            <a:effectLst/>
                            <a:latin typeface="Cambria Math" panose="02040503050406030204" pitchFamily="18" charset="0"/>
                            <a:ea typeface="+mn-ea"/>
                            <a:cs typeface="+mn-cs"/>
                          </a:rPr>
                          <m:t>𝑟𝑒𝑙</m:t>
                        </m:r>
                        <m:r>
                          <a:rPr lang="ar-AE" sz="1100" i="1">
                            <a:solidFill>
                              <a:schemeClr val="tx1"/>
                            </a:solidFill>
                            <a:effectLst/>
                            <a:latin typeface="Cambria Math" panose="02040503050406030204" pitchFamily="18" charset="0"/>
                            <a:ea typeface="+mn-ea"/>
                            <a:cs typeface="+mn-cs"/>
                          </a:rPr>
                          <m:t>_</m:t>
                        </m:r>
                        <m:r>
                          <a:rPr lang="ar-AE" sz="1100" i="1">
                            <a:solidFill>
                              <a:schemeClr val="tx1"/>
                            </a:solidFill>
                            <a:effectLst/>
                            <a:latin typeface="Cambria Math" panose="02040503050406030204" pitchFamily="18" charset="0"/>
                            <a:ea typeface="+mn-ea"/>
                            <a:cs typeface="+mn-cs"/>
                          </a:rPr>
                          <m:t>𝑔𝑗𝑒𝑛𝑛𝑜𝑚𝑠𝑛𝑖𝑡𝑡</m:t>
                        </m:r>
                      </m:e>
                      <m:sub>
                        <m:r>
                          <a:rPr lang="ar-AE" sz="1100" i="1">
                            <a:solidFill>
                              <a:schemeClr val="tx1"/>
                            </a:solidFill>
                            <a:effectLst/>
                            <a:latin typeface="Cambria Math" panose="02040503050406030204" pitchFamily="18" charset="0"/>
                            <a:ea typeface="+mn-ea"/>
                            <a:cs typeface="+mn-cs"/>
                          </a:rPr>
                          <m:t>𝑡</m:t>
                        </m:r>
                      </m:sub>
                    </m:sSub>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𝑎𝑛𝑛𝑒𝑡</m:t>
                    </m:r>
                    <m:r>
                      <a:rPr lang="ar-AE" sz="1100" i="1">
                        <a:solidFill>
                          <a:schemeClr val="tx1"/>
                        </a:solidFill>
                        <a:effectLst/>
                        <a:latin typeface="Cambria Math" panose="02040503050406030204" pitchFamily="18" charset="0"/>
                        <a:ea typeface="+mn-ea"/>
                        <a:cs typeface="+mn-cs"/>
                      </a:rPr>
                      <m:t>)</m:t>
                    </m:r>
                  </m:oMath>
                </m:oMathPara>
              </a14:m>
              <a:endParaRPr lang="ar-AE" sz="1100">
                <a:solidFill>
                  <a:schemeClr val="tx1"/>
                </a:solidFill>
                <a:effectLst/>
                <a:latin typeface="+mn-lt"/>
                <a:ea typeface="+mn-ea"/>
                <a:cs typeface="+mn-cs"/>
              </a:endParaRPr>
            </a:p>
            <a:p>
              <a:endParaRPr lang="ar-AE" sz="1100">
                <a:solidFill>
                  <a:schemeClr val="tx1"/>
                </a:solidFill>
                <a:effectLst/>
                <a:latin typeface="+mn-lt"/>
                <a:ea typeface="+mn-ea"/>
                <a:cs typeface="+mn-cs"/>
              </a:endParaRPr>
            </a:p>
            <a:p>
              <a:r>
                <a:rPr lang="nb-NO" sz="1100">
                  <a:solidFill>
                    <a:schemeClr val="tx1"/>
                  </a:solidFill>
                  <a:effectLst/>
                  <a:latin typeface="+mn-lt"/>
                  <a:ea typeface="+mn-ea"/>
                  <a:cs typeface="+mn-cs"/>
                </a:rPr>
                <a:t>Funksjonen angir at minimumskravet til disposisjonsfond er en funksjon av kommunens risikoeksponering knyttet til størrelsen på renteeksponert gjeld (G), finansielle formue (FF) og skatteinntekter (SI). I tillegg er det lagt til en «annet» som skal fange opp at det også er andre mindre risikokilder i tillegg til at deler av disposisjonsfondet er bundet opp til andre formål (for eksempel akkumulert premieavvik). </a:t>
              </a:r>
            </a:p>
            <a:p>
              <a:r>
                <a:rPr lang="nb-NO" sz="1100">
                  <a:solidFill>
                    <a:schemeClr val="tx1"/>
                  </a:solidFill>
                  <a:effectLst/>
                  <a:latin typeface="+mn-lt"/>
                  <a:ea typeface="+mn-ea"/>
                  <a:cs typeface="+mn-cs"/>
                </a:rPr>
                <a:t>I modellen er minimumskravet til disposisjonsfond definert på følgende måte:</a:t>
              </a:r>
            </a:p>
            <a:p>
              <a:endParaRPr lang="nb-NO" sz="1100">
                <a:solidFill>
                  <a:schemeClr val="tx1"/>
                </a:solidFill>
                <a:effectLst/>
                <a:latin typeface="+mn-lt"/>
                <a:ea typeface="+mn-ea"/>
                <a:cs typeface="+mn-cs"/>
              </a:endParaRPr>
            </a:p>
            <a:p>
              <a:pPr/>
              <a14:m>
                <m:oMathPara xmlns:m="http://schemas.openxmlformats.org/officeDocument/2006/math">
                  <m:oMathParaPr>
                    <m:jc m:val="centerGroup"/>
                  </m:oMathParaPr>
                  <m:oMath xmlns:m="http://schemas.openxmlformats.org/officeDocument/2006/math">
                    <m:f>
                      <m:fPr>
                        <m:ctrlPr>
                          <a:rPr lang="ar-AE" sz="1100" i="1">
                            <a:solidFill>
                              <a:schemeClr val="tx1"/>
                            </a:solidFill>
                            <a:effectLst/>
                            <a:latin typeface="Cambria Math" panose="02040503050406030204" pitchFamily="18" charset="0"/>
                            <a:ea typeface="+mn-ea"/>
                            <a:cs typeface="+mn-cs"/>
                          </a:rPr>
                        </m:ctrlPr>
                      </m:fPr>
                      <m:num>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𝐷𝐹</m:t>
                            </m:r>
                          </m:e>
                          <m:sub>
                            <m:r>
                              <a:rPr lang="ar-AE" sz="1100" i="1">
                                <a:solidFill>
                                  <a:schemeClr val="tx1"/>
                                </a:solidFill>
                                <a:effectLst/>
                                <a:latin typeface="Cambria Math" panose="02040503050406030204" pitchFamily="18" charset="0"/>
                                <a:ea typeface="+mn-ea"/>
                                <a:cs typeface="+mn-cs"/>
                              </a:rPr>
                              <m:t>𝑡</m:t>
                            </m:r>
                          </m:sub>
                        </m:sSub>
                      </m:num>
                      <m:den>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𝐷𝐼</m:t>
                            </m:r>
                          </m:e>
                          <m:sub>
                            <m:r>
                              <a:rPr lang="ar-AE" sz="1100" i="1">
                                <a:solidFill>
                                  <a:schemeClr val="tx1"/>
                                </a:solidFill>
                                <a:effectLst/>
                                <a:latin typeface="Cambria Math" panose="02040503050406030204" pitchFamily="18" charset="0"/>
                                <a:ea typeface="+mn-ea"/>
                                <a:cs typeface="+mn-cs"/>
                              </a:rPr>
                              <m:t>𝑡</m:t>
                            </m:r>
                          </m:sub>
                        </m:sSub>
                      </m:den>
                    </m:f>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2</m:t>
                    </m:r>
                    <m:r>
                      <a:rPr lang="ar-AE" sz="1100" i="1">
                        <a:solidFill>
                          <a:schemeClr val="tx1"/>
                        </a:solidFill>
                        <a:effectLst/>
                        <a:latin typeface="Cambria Math" panose="02040503050406030204" pitchFamily="18" charset="0"/>
                        <a:ea typeface="+mn-ea"/>
                        <a:cs typeface="+mn-cs"/>
                      </a:rPr>
                      <m:t>%+ </m:t>
                    </m:r>
                    <m:f>
                      <m:fPr>
                        <m:ctrlPr>
                          <a:rPr lang="ar-AE" sz="1100" i="1">
                            <a:solidFill>
                              <a:schemeClr val="tx1"/>
                            </a:solidFill>
                            <a:effectLst/>
                            <a:latin typeface="Cambria Math" panose="02040503050406030204" pitchFamily="18" charset="0"/>
                            <a:ea typeface="+mn-ea"/>
                            <a:cs typeface="+mn-cs"/>
                          </a:rPr>
                        </m:ctrlPr>
                      </m:fPr>
                      <m:num>
                        <m:r>
                          <a:rPr lang="ar-AE" sz="1100" i="1">
                            <a:solidFill>
                              <a:schemeClr val="tx1"/>
                            </a:solidFill>
                            <a:effectLst/>
                            <a:latin typeface="Cambria Math" panose="02040503050406030204" pitchFamily="18" charset="0"/>
                            <a:ea typeface="+mn-ea"/>
                            <a:cs typeface="+mn-cs"/>
                          </a:rPr>
                          <m:t>1</m:t>
                        </m:r>
                      </m:num>
                      <m:den>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𝐷𝐼</m:t>
                            </m:r>
                          </m:e>
                          <m:sub>
                            <m:r>
                              <a:rPr lang="ar-AE" sz="1100" i="1">
                                <a:solidFill>
                                  <a:schemeClr val="tx1"/>
                                </a:solidFill>
                                <a:effectLst/>
                                <a:latin typeface="Cambria Math" panose="02040503050406030204" pitchFamily="18" charset="0"/>
                                <a:ea typeface="+mn-ea"/>
                                <a:cs typeface="+mn-cs"/>
                              </a:rPr>
                              <m:t>𝑡</m:t>
                            </m:r>
                          </m:sub>
                        </m:sSub>
                      </m:den>
                    </m:f>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𝑚𝑎𝑥</m:t>
                    </m:r>
                    <m:d>
                      <m:dPr>
                        <m:begChr m:val="{"/>
                        <m:endChr m:val=""/>
                        <m:ctrlPr>
                          <a:rPr lang="ar-AE" sz="1100" i="1">
                            <a:solidFill>
                              <a:schemeClr val="tx1"/>
                            </a:solidFill>
                            <a:effectLst/>
                            <a:latin typeface="Cambria Math" panose="02040503050406030204" pitchFamily="18" charset="0"/>
                            <a:ea typeface="+mn-ea"/>
                            <a:cs typeface="+mn-cs"/>
                          </a:rPr>
                        </m:ctrlPr>
                      </m:dPr>
                      <m:e>
                        <m:eqArr>
                          <m:eqArrPr>
                            <m:ctrlPr>
                              <a:rPr lang="ar-AE" sz="1100" i="1">
                                <a:solidFill>
                                  <a:schemeClr val="tx1"/>
                                </a:solidFill>
                                <a:effectLst/>
                                <a:latin typeface="Cambria Math" panose="02040503050406030204" pitchFamily="18" charset="0"/>
                                <a:ea typeface="+mn-ea"/>
                                <a:cs typeface="+mn-cs"/>
                              </a:rPr>
                            </m:ctrlPr>
                          </m:eqArrPr>
                          <m:e>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𝑟𝑒𝐺</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1</m:t>
                                </m:r>
                              </m:sub>
                            </m:sSub>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2</m:t>
                            </m:r>
                            <m:r>
                              <a:rPr lang="ar-AE" sz="1100" i="1">
                                <a:solidFill>
                                  <a:schemeClr val="tx1"/>
                                </a:solidFill>
                                <a:effectLst/>
                                <a:latin typeface="Cambria Math" panose="02040503050406030204" pitchFamily="18" charset="0"/>
                                <a:ea typeface="+mn-ea"/>
                                <a:cs typeface="+mn-cs"/>
                              </a:rPr>
                              <m:t>%−</m:t>
                            </m:r>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𝐹𝐹</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1</m:t>
                                </m:r>
                              </m:sub>
                            </m:sSub>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1</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4</m:t>
                            </m:r>
                            <m:r>
                              <a:rPr lang="nb-NO" sz="1100" i="1">
                                <a:solidFill>
                                  <a:schemeClr val="tx1"/>
                                </a:solidFill>
                                <a:effectLst/>
                                <a:latin typeface="Cambria Math" panose="02040503050406030204" pitchFamily="18" charset="0"/>
                                <a:ea typeface="+mn-ea"/>
                                <a:cs typeface="+mn-cs"/>
                              </a:rPr>
                              <m:t>å</m:t>
                            </m:r>
                            <m:r>
                              <a:rPr lang="nb-NO" sz="1100" i="1">
                                <a:solidFill>
                                  <a:schemeClr val="tx1"/>
                                </a:solidFill>
                                <a:effectLst/>
                                <a:latin typeface="Cambria Math" panose="02040503050406030204" pitchFamily="18" charset="0"/>
                                <a:ea typeface="+mn-ea"/>
                                <a:cs typeface="+mn-cs"/>
                              </a:rPr>
                              <m:t>𝑟</m:t>
                            </m:r>
                            <m:r>
                              <a:rPr lang="nb-NO" sz="1100" i="1">
                                <a:solidFill>
                                  <a:schemeClr val="tx1"/>
                                </a:solidFill>
                                <a:effectLst/>
                                <a:latin typeface="Cambria Math" panose="02040503050406030204" pitchFamily="18" charset="0"/>
                                <a:ea typeface="+mn-ea"/>
                                <a:cs typeface="+mn-cs"/>
                              </a:rPr>
                              <m:t> </m:t>
                            </m:r>
                          </m:e>
                          <m:e>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𝐹𝐼</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5</m:t>
                            </m:r>
                            <m:r>
                              <a:rPr lang="ar-AE" sz="1100" i="1">
                                <a:solidFill>
                                  <a:schemeClr val="tx1"/>
                                </a:solidFill>
                                <a:effectLst/>
                                <a:latin typeface="Cambria Math" panose="02040503050406030204" pitchFamily="18" charset="0"/>
                                <a:ea typeface="+mn-ea"/>
                                <a:cs typeface="+mn-cs"/>
                              </a:rPr>
                              <m:t>𝑝𝑒𝑟𝑐𝑒𝑛𝑡𝑖𝑙</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𝑆𝐼</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5</m:t>
                            </m:r>
                            <m:r>
                              <a:rPr lang="ar-AE" sz="1100" i="1">
                                <a:solidFill>
                                  <a:schemeClr val="tx1"/>
                                </a:solidFill>
                                <a:effectLst/>
                                <a:latin typeface="Cambria Math" panose="02040503050406030204" pitchFamily="18" charset="0"/>
                                <a:ea typeface="+mn-ea"/>
                                <a:cs typeface="+mn-cs"/>
                              </a:rPr>
                              <m:t>𝑝𝑒𝑟𝑐𝑒𝑛𝑡𝑖𝑙</m:t>
                            </m:r>
                            <m:r>
                              <a:rPr lang="ar-AE" sz="1100" i="1">
                                <a:solidFill>
                                  <a:schemeClr val="tx1"/>
                                </a:solidFill>
                                <a:effectLst/>
                                <a:latin typeface="Cambria Math" panose="02040503050406030204" pitchFamily="18" charset="0"/>
                                <a:ea typeface="+mn-ea"/>
                                <a:cs typeface="+mn-cs"/>
                              </a:rPr>
                              <m:t>)</m:t>
                            </m:r>
                          </m:e>
                        </m:eqArr>
                      </m:e>
                    </m:d>
                  </m:oMath>
                </m:oMathPara>
              </a14:m>
              <a:endParaRPr lang="ar-AE" sz="1100">
                <a:solidFill>
                  <a:schemeClr val="tx1"/>
                </a:solidFill>
                <a:effectLst/>
                <a:latin typeface="+mn-lt"/>
                <a:ea typeface="+mn-ea"/>
                <a:cs typeface="+mn-cs"/>
              </a:endParaRPr>
            </a:p>
            <a:p>
              <a:endParaRPr lang="ar-AE"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a:solidFill>
                    <a:schemeClr val="tx1"/>
                  </a:solidFill>
                  <a:effectLst/>
                  <a:latin typeface="+mn-lt"/>
                  <a:ea typeface="+mn-ea"/>
                  <a:cs typeface="+mn-cs"/>
                </a:rPr>
                <a:t>Disposisjonsfondet skal være så stort at det skal kunne dekke et skjønnsmessig minimumsnivå satt til 2 prosent av kommunens inntekter pluss den største risikoen av: </a:t>
              </a:r>
              <a:endParaRPr lang="nb-NO">
                <a:effectLst/>
              </a:endParaRPr>
            </a:p>
            <a:p>
              <a:endParaRPr lang="nb-NO" sz="1100">
                <a:solidFill>
                  <a:schemeClr val="tx1"/>
                </a:solidFill>
                <a:effectLst/>
                <a:latin typeface="+mn-lt"/>
                <a:ea typeface="+mn-ea"/>
                <a:cs typeface="+mn-cs"/>
              </a:endParaRPr>
            </a:p>
            <a:p>
              <a:pPr lvl="0"/>
              <a:r>
                <a:rPr lang="nb-NO" sz="1100">
                  <a:solidFill>
                    <a:schemeClr val="tx1"/>
                  </a:solidFill>
                  <a:effectLst/>
                  <a:latin typeface="+mn-lt"/>
                  <a:ea typeface="+mn-ea"/>
                  <a:cs typeface="+mn-cs"/>
                </a:rPr>
                <a:t>1) en renteøkning på gjelden på 2 prosent over en periode på fire år, korrigert for at finansinntektene antas å øke med 1 prosent dersom rentene øker, og </a:t>
              </a:r>
            </a:p>
            <a:p>
              <a:pPr marL="0" marR="0" lvl="0" indent="0" defTabSz="914400" eaLnBrk="1" fontAlgn="auto" latinLnBrk="0" hangingPunct="1">
                <a:lnSpc>
                  <a:spcPct val="100000"/>
                </a:lnSpc>
                <a:spcBef>
                  <a:spcPts val="0"/>
                </a:spcBef>
                <a:spcAft>
                  <a:spcPts val="0"/>
                </a:spcAft>
                <a:buClrTx/>
                <a:buSzTx/>
                <a:buFontTx/>
                <a:buNone/>
                <a:tabLst/>
                <a:defRPr/>
              </a:pPr>
              <a:r>
                <a:rPr lang="nb-NO" sz="1100">
                  <a:solidFill>
                    <a:schemeClr val="tx1"/>
                  </a:solidFill>
                  <a:effectLst/>
                  <a:latin typeface="+mn-lt"/>
                  <a:ea typeface="+mn-ea"/>
                  <a:cs typeface="+mn-cs"/>
                </a:rPr>
                <a:t>2) et negativt sjokk tilsvarende 5-percentilen av endringer i finansinntekter (6 prosent fall i finansinntekter) og skatteinntekter (4%/0,5% avhengig av +/- 90% av landssnitt) observert over perioden 2006-2017. </a:t>
              </a:r>
              <a:endParaRPr lang="nb-NO">
                <a:effectLst/>
              </a:endParaRPr>
            </a:p>
            <a:p>
              <a:pPr lvl="0"/>
              <a:endParaRPr lang="nb-NO"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a:solidFill>
                    <a:schemeClr val="tx1"/>
                  </a:solidFill>
                  <a:effectLst/>
                  <a:latin typeface="+mn-lt"/>
                  <a:ea typeface="+mn-ea"/>
                  <a:cs typeface="+mn-cs"/>
                </a:rPr>
                <a:t>Det kravet som er høyest av disse to er bindende for minimumskravet til disposisjonsfond. Når det gjelder risikoen knyttet til renteøkning er denne antatt å være av en midlertidig karakter ettersom premieinnbetalingene knyttet til pensjon også vil reduseres når rentenivået øker. Vi legger imidlertid skjønnsmessig til grunn at det vil ta 4 år før premieinnbetalingene reduseres som følge av en renteøkning ettersom pensjonssparingen i stor grad er bundet opp i langsiktige rentepapirer. </a:t>
              </a:r>
              <a:endParaRPr lang="nb-NO">
                <a:effectLst/>
              </a:endParaRPr>
            </a:p>
            <a:p>
              <a:endParaRPr lang="nb-NO" sz="1100">
                <a:solidFill>
                  <a:schemeClr val="tx1"/>
                </a:solidFill>
                <a:effectLst/>
                <a:latin typeface="+mn-lt"/>
                <a:ea typeface="+mn-ea"/>
                <a:cs typeface="+mn-cs"/>
              </a:endParaRPr>
            </a:p>
            <a:p>
              <a:r>
                <a:rPr lang="nb-NO" sz="1100">
                  <a:solidFill>
                    <a:schemeClr val="tx1"/>
                  </a:solidFill>
                  <a:effectLst/>
                  <a:latin typeface="+mn-lt"/>
                  <a:ea typeface="+mn-ea"/>
                  <a:cs typeface="+mn-cs"/>
                </a:rPr>
                <a:t>Det er tre forhold som tilsier at det bør legges til et skjønnsmessig minimumsnivå i tillegg til den beregnede risikoen tilknyttet renteutgifter, skatte- og finansinntekter: i) det finnes risikokilder som ikke er omfattet av beregningene, ii) måten vi har målt historiske svingninger på fanger ikke nødvendigvis opp all relevant framtidig risiko, og iii) det kan være samvariasjon mellom risikofaktorer som ikke har blitt tatt hensyn til i risikoberegningene. Når det gjelder det siste punktet, vil det være for eksempel være rimelig å anta at høyere rente også vil medføre en viss svikt i skatteinntekter. Dette siden høyere rente i løpet av et ligningsår vil gi høyere skattefradrag og dermed redusert skatteinntekt, både i makro (kommunesektoren) og for den enkelte kommune. </a:t>
              </a:r>
            </a:p>
            <a:p>
              <a:r>
                <a:rPr lang="nb-NO" sz="1100">
                  <a:solidFill>
                    <a:schemeClr val="tx1"/>
                  </a:solidFill>
                  <a:effectLst/>
                  <a:latin typeface="+mn-lt"/>
                  <a:ea typeface="+mn-ea"/>
                  <a:cs typeface="+mn-cs"/>
                </a:rPr>
                <a:t>For å ta hensyn til at ikke all relevant risiko har blitt håndtert – eller har blitt mindre enn perfekt håndtert – i beregningene, har vi valgt å inkludere et absolutt minimumsnivå på disposisjonsfond på 2 prosent av driftsinntektene. I regnearkversjonen av modellen vil dermed hver enkelt kommune få et krav til disposisjonsfond på 2 prosent pluss det individuelt fastsatte risikotillegget. </a:t>
              </a: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pPr/>
              <a14:m>
                <m:oMathPara xmlns:m="http://schemas.openxmlformats.org/officeDocument/2006/math">
                  <m:oMathParaPr>
                    <m:jc m:val="centerGroup"/>
                  </m:oMathParaPr>
                  <m:oMath xmlns:m="http://schemas.openxmlformats.org/officeDocument/2006/math">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𝐴𝑣𝑠</m:t>
                        </m:r>
                        <m:r>
                          <a:rPr lang="ar-AE" sz="1100" i="1">
                            <a:solidFill>
                              <a:schemeClr val="tx1"/>
                            </a:solidFill>
                            <a:effectLst/>
                            <a:latin typeface="Cambria Math" panose="02040503050406030204" pitchFamily="18" charset="0"/>
                            <a:ea typeface="+mn-ea"/>
                            <a:cs typeface="+mn-cs"/>
                          </a:rPr>
                          <m:t>_</m:t>
                        </m:r>
                        <m:r>
                          <a:rPr lang="ar-AE" sz="1100" i="1">
                            <a:solidFill>
                              <a:schemeClr val="tx1"/>
                            </a:solidFill>
                            <a:effectLst/>
                            <a:latin typeface="Cambria Math" panose="02040503050406030204" pitchFamily="18" charset="0"/>
                            <a:ea typeface="+mn-ea"/>
                            <a:cs typeface="+mn-cs"/>
                          </a:rPr>
                          <m:t>𝑑𝑖𝑠𝑝𝑓</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𝑚𝑎𝑥</m:t>
                    </m:r>
                    <m:d>
                      <m:dPr>
                        <m:begChr m:val="{"/>
                        <m:endChr m:val=""/>
                        <m:ctrlPr>
                          <a:rPr lang="ar-AE" sz="1100" i="1">
                            <a:solidFill>
                              <a:schemeClr val="tx1"/>
                            </a:solidFill>
                            <a:effectLst/>
                            <a:latin typeface="Cambria Math" panose="02040503050406030204" pitchFamily="18" charset="0"/>
                            <a:ea typeface="+mn-ea"/>
                            <a:cs typeface="+mn-cs"/>
                          </a:rPr>
                        </m:ctrlPr>
                      </m:dPr>
                      <m:e>
                        <m:eqArr>
                          <m:eqArrPr>
                            <m:ctrlPr>
                              <a:rPr lang="ar-AE" sz="1100" i="1">
                                <a:solidFill>
                                  <a:schemeClr val="tx1"/>
                                </a:solidFill>
                                <a:effectLst/>
                                <a:latin typeface="Cambria Math" panose="02040503050406030204" pitchFamily="18" charset="0"/>
                                <a:ea typeface="+mn-ea"/>
                                <a:cs typeface="+mn-cs"/>
                              </a:rPr>
                            </m:ctrlPr>
                          </m:eqArrPr>
                          <m:e>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𝐷𝐹</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r>
                              <a:rPr lang="ar-AE" sz="1100" i="1">
                                <a:solidFill>
                                  <a:schemeClr val="tx1"/>
                                </a:solidFill>
                                <a:effectLst/>
                                <a:latin typeface="Cambria Math" panose="02040503050406030204" pitchFamily="18" charset="0"/>
                                <a:ea typeface="+mn-ea"/>
                                <a:cs typeface="+mn-cs"/>
                              </a:rPr>
                              <m:t>−</m:t>
                            </m:r>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𝐷𝐹</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1</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r>
                              <a:rPr lang="ar-AE" sz="1100" i="1">
                                <a:solidFill>
                                  <a:schemeClr val="tx1"/>
                                </a:solidFill>
                                <a:effectLst/>
                                <a:latin typeface="Cambria Math" panose="02040503050406030204" pitchFamily="18" charset="0"/>
                                <a:ea typeface="+mn-ea"/>
                                <a:cs typeface="+mn-cs"/>
                              </a:rPr>
                              <m:t>,  </m:t>
                            </m:r>
                            <m:r>
                              <a:rPr lang="ar-AE" sz="1100" i="1">
                                <a:solidFill>
                                  <a:schemeClr val="tx1"/>
                                </a:solidFill>
                                <a:effectLst/>
                                <a:latin typeface="Cambria Math" panose="02040503050406030204" pitchFamily="18" charset="0"/>
                                <a:ea typeface="+mn-ea"/>
                                <a:cs typeface="+mn-cs"/>
                              </a:rPr>
                              <m:t>h</m:t>
                            </m:r>
                            <m:r>
                              <a:rPr lang="ar-AE" sz="1100" i="1">
                                <a:solidFill>
                                  <a:schemeClr val="tx1"/>
                                </a:solidFill>
                                <a:effectLst/>
                                <a:latin typeface="Cambria Math" panose="02040503050406030204" pitchFamily="18" charset="0"/>
                                <a:ea typeface="+mn-ea"/>
                                <a:cs typeface="+mn-cs"/>
                              </a:rPr>
                              <m:t>𝑣𝑖𝑠</m:t>
                            </m:r>
                            <m:r>
                              <a:rPr lang="ar-AE" sz="1100" i="1">
                                <a:solidFill>
                                  <a:schemeClr val="tx1"/>
                                </a:solidFill>
                                <a:effectLst/>
                                <a:latin typeface="Cambria Math" panose="02040503050406030204" pitchFamily="18" charset="0"/>
                                <a:ea typeface="+mn-ea"/>
                                <a:cs typeface="+mn-cs"/>
                              </a:rPr>
                              <m:t> </m:t>
                            </m:r>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𝐷𝐹</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r>
                              <a:rPr lang="ar-AE" sz="1100" i="1">
                                <a:solidFill>
                                  <a:schemeClr val="tx1"/>
                                </a:solidFill>
                                <a:effectLst/>
                                <a:latin typeface="Cambria Math" panose="02040503050406030204" pitchFamily="18" charset="0"/>
                                <a:ea typeface="+mn-ea"/>
                                <a:cs typeface="+mn-cs"/>
                              </a:rPr>
                              <m:t>−</m:t>
                            </m:r>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𝐷𝐹</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1</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r>
                              <a:rPr lang="ar-AE" sz="1100" i="1">
                                <a:solidFill>
                                  <a:schemeClr val="tx1"/>
                                </a:solidFill>
                                <a:effectLst/>
                                <a:latin typeface="Cambria Math" panose="02040503050406030204" pitchFamily="18" charset="0"/>
                                <a:ea typeface="+mn-ea"/>
                                <a:cs typeface="+mn-cs"/>
                              </a:rPr>
                              <m:t>&gt;</m:t>
                            </m:r>
                            <m:r>
                              <a:rPr lang="ar-AE" sz="1100" i="1">
                                <a:solidFill>
                                  <a:schemeClr val="tx1"/>
                                </a:solidFill>
                                <a:effectLst/>
                                <a:latin typeface="Cambria Math" panose="02040503050406030204" pitchFamily="18" charset="0"/>
                                <a:ea typeface="+mn-ea"/>
                                <a:cs typeface="+mn-cs"/>
                              </a:rPr>
                              <m:t>0</m:t>
                            </m:r>
                          </m:e>
                          <m:e>
                            <m:r>
                              <a:rPr lang="ar-AE" sz="1100" i="1">
                                <a:solidFill>
                                  <a:schemeClr val="tx1"/>
                                </a:solidFill>
                                <a:effectLst/>
                                <a:latin typeface="Cambria Math" panose="02040503050406030204" pitchFamily="18" charset="0"/>
                                <a:ea typeface="+mn-ea"/>
                                <a:cs typeface="+mn-cs"/>
                              </a:rPr>
                              <m:t>0</m:t>
                            </m:r>
                            <m:r>
                              <a:rPr lang="ar-AE" sz="1100" i="1">
                                <a:solidFill>
                                  <a:schemeClr val="tx1"/>
                                </a:solidFill>
                                <a:effectLst/>
                                <a:latin typeface="Cambria Math" panose="02040503050406030204" pitchFamily="18" charset="0"/>
                                <a:ea typeface="+mn-ea"/>
                                <a:cs typeface="+mn-cs"/>
                              </a:rPr>
                              <m:t>,                                  </m:t>
                            </m:r>
                            <m:r>
                              <a:rPr lang="ar-AE" sz="1100" i="1">
                                <a:solidFill>
                                  <a:schemeClr val="tx1"/>
                                </a:solidFill>
                                <a:effectLst/>
                                <a:latin typeface="Cambria Math" panose="02040503050406030204" pitchFamily="18" charset="0"/>
                                <a:ea typeface="+mn-ea"/>
                                <a:cs typeface="+mn-cs"/>
                              </a:rPr>
                              <m:t>h</m:t>
                            </m:r>
                            <m:r>
                              <a:rPr lang="ar-AE" sz="1100" i="1">
                                <a:solidFill>
                                  <a:schemeClr val="tx1"/>
                                </a:solidFill>
                                <a:effectLst/>
                                <a:latin typeface="Cambria Math" panose="02040503050406030204" pitchFamily="18" charset="0"/>
                                <a:ea typeface="+mn-ea"/>
                                <a:cs typeface="+mn-cs"/>
                              </a:rPr>
                              <m:t>𝑣𝑖𝑠</m:t>
                            </m:r>
                            <m:r>
                              <a:rPr lang="ar-AE" sz="1100" i="1">
                                <a:solidFill>
                                  <a:schemeClr val="tx1"/>
                                </a:solidFill>
                                <a:effectLst/>
                                <a:latin typeface="Cambria Math" panose="02040503050406030204" pitchFamily="18" charset="0"/>
                                <a:ea typeface="+mn-ea"/>
                                <a:cs typeface="+mn-cs"/>
                              </a:rPr>
                              <m:t> </m:t>
                            </m:r>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𝐷𝐹</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r>
                              <a:rPr lang="ar-AE" sz="1100" i="1">
                                <a:solidFill>
                                  <a:schemeClr val="tx1"/>
                                </a:solidFill>
                                <a:effectLst/>
                                <a:latin typeface="Cambria Math" panose="02040503050406030204" pitchFamily="18" charset="0"/>
                                <a:ea typeface="+mn-ea"/>
                                <a:cs typeface="+mn-cs"/>
                              </a:rPr>
                              <m:t>−</m:t>
                            </m:r>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𝐷𝐹</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1</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r>
                              <a:rPr lang="ar-AE" sz="1100" i="1">
                                <a:solidFill>
                                  <a:schemeClr val="tx1"/>
                                </a:solidFill>
                                <a:effectLst/>
                                <a:latin typeface="Cambria Math" panose="02040503050406030204" pitchFamily="18" charset="0"/>
                                <a:ea typeface="+mn-ea"/>
                                <a:cs typeface="+mn-cs"/>
                              </a:rPr>
                              <m:t>&lt;</m:t>
                            </m:r>
                            <m:r>
                              <a:rPr lang="ar-AE" sz="1100" i="1">
                                <a:solidFill>
                                  <a:schemeClr val="tx1"/>
                                </a:solidFill>
                                <a:effectLst/>
                                <a:latin typeface="Cambria Math" panose="02040503050406030204" pitchFamily="18" charset="0"/>
                                <a:ea typeface="+mn-ea"/>
                                <a:cs typeface="+mn-cs"/>
                              </a:rPr>
                              <m:t>0</m:t>
                            </m:r>
                          </m:e>
                        </m:eqArr>
                      </m:e>
                    </m:d>
                  </m:oMath>
                </m:oMathPara>
              </a14:m>
              <a:endParaRPr lang="ar-AE" sz="1100">
                <a:solidFill>
                  <a:schemeClr val="tx1"/>
                </a:solidFill>
                <a:effectLst/>
                <a:latin typeface="+mn-lt"/>
                <a:ea typeface="+mn-ea"/>
                <a:cs typeface="+mn-cs"/>
              </a:endParaRPr>
            </a:p>
            <a:p>
              <a:endParaRPr lang="ar-AE" sz="1100">
                <a:solidFill>
                  <a:schemeClr val="tx1"/>
                </a:solidFill>
                <a:effectLst/>
                <a:latin typeface="+mn-lt"/>
                <a:ea typeface="+mn-ea"/>
                <a:cs typeface="+mn-cs"/>
              </a:endParaRPr>
            </a:p>
            <a:p>
              <a:r>
                <a:rPr lang="nb-NO" sz="1100">
                  <a:solidFill>
                    <a:schemeClr val="tx1"/>
                  </a:solidFill>
                  <a:effectLst/>
                  <a:latin typeface="+mn-lt"/>
                  <a:ea typeface="+mn-ea"/>
                  <a:cs typeface="+mn-cs"/>
                </a:rPr>
                <a:t>Avsetningene til disposisjonsfondet vil være lik avviket mellom minimumskravet til disposisjonsfond (</a:t>
              </a:r>
              <a14:m>
                <m:oMath xmlns:m="http://schemas.openxmlformats.org/officeDocument/2006/math">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𝐷𝐹</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r>
                    <a:rPr lang="ar-AE" sz="1100" i="1">
                      <a:solidFill>
                        <a:schemeClr val="tx1"/>
                      </a:solidFill>
                      <a:effectLst/>
                      <a:latin typeface="Cambria Math" panose="02040503050406030204" pitchFamily="18" charset="0"/>
                      <a:ea typeface="+mn-ea"/>
                      <a:cs typeface="+mn-cs"/>
                    </a:rPr>
                    <m:t>)</m:t>
                  </m:r>
                </m:oMath>
              </a14:m>
              <a:r>
                <a:rPr lang="nb-NO" sz="1100">
                  <a:solidFill>
                    <a:schemeClr val="tx1"/>
                  </a:solidFill>
                  <a:effectLst/>
                  <a:latin typeface="+mn-lt"/>
                  <a:ea typeface="+mn-ea"/>
                  <a:cs typeface="+mn-cs"/>
                </a:rPr>
                <a:t>og det faktiske nivået (</a:t>
              </a:r>
              <a14:m>
                <m:oMath xmlns:m="http://schemas.openxmlformats.org/officeDocument/2006/math">
                  <m:sSub>
                    <m:sSubPr>
                      <m:ctrlPr>
                        <a:rPr lang="ar-AE" sz="1100" i="1">
                          <a:solidFill>
                            <a:schemeClr val="tx1"/>
                          </a:solidFill>
                          <a:effectLst/>
                          <a:latin typeface="Cambria Math" panose="02040503050406030204" pitchFamily="18" charset="0"/>
                          <a:ea typeface="+mn-ea"/>
                          <a:cs typeface="+mn-cs"/>
                        </a:rPr>
                      </m:ctrlPr>
                    </m:sSubPr>
                    <m:e>
                      <m:r>
                        <a:rPr lang="ar-AE" sz="1100" i="1">
                          <a:solidFill>
                            <a:schemeClr val="tx1"/>
                          </a:solidFill>
                          <a:effectLst/>
                          <a:latin typeface="Cambria Math" panose="02040503050406030204" pitchFamily="18" charset="0"/>
                          <a:ea typeface="+mn-ea"/>
                          <a:cs typeface="+mn-cs"/>
                        </a:rPr>
                        <m:t>𝐷𝐹</m:t>
                      </m:r>
                    </m:e>
                    <m:sub>
                      <m:r>
                        <a:rPr lang="ar-AE" sz="1100" i="1">
                          <a:solidFill>
                            <a:schemeClr val="tx1"/>
                          </a:solidFill>
                          <a:effectLst/>
                          <a:latin typeface="Cambria Math" panose="02040503050406030204" pitchFamily="18" charset="0"/>
                          <a:ea typeface="+mn-ea"/>
                          <a:cs typeface="+mn-cs"/>
                        </a:rPr>
                        <m:t>𝑡</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1</m:t>
                      </m:r>
                      <m:r>
                        <a:rPr lang="ar-AE" sz="1100" i="1">
                          <a:solidFill>
                            <a:schemeClr val="tx1"/>
                          </a:solidFill>
                          <a:effectLst/>
                          <a:latin typeface="Cambria Math" panose="02040503050406030204" pitchFamily="18" charset="0"/>
                          <a:ea typeface="+mn-ea"/>
                          <a:cs typeface="+mn-cs"/>
                        </a:rPr>
                        <m:t>,</m:t>
                      </m:r>
                      <m:r>
                        <a:rPr lang="ar-AE" sz="1100" i="1">
                          <a:solidFill>
                            <a:schemeClr val="tx1"/>
                          </a:solidFill>
                          <a:effectLst/>
                          <a:latin typeface="Cambria Math" panose="02040503050406030204" pitchFamily="18" charset="0"/>
                          <a:ea typeface="+mn-ea"/>
                          <a:cs typeface="+mn-cs"/>
                        </a:rPr>
                        <m:t>𝑖</m:t>
                      </m:r>
                    </m:sub>
                  </m:sSub>
                  <m:r>
                    <a:rPr lang="ar-AE" sz="1100" i="1">
                      <a:solidFill>
                        <a:schemeClr val="tx1"/>
                      </a:solidFill>
                      <a:effectLst/>
                      <a:latin typeface="Cambria Math" panose="02040503050406030204" pitchFamily="18" charset="0"/>
                      <a:ea typeface="+mn-ea"/>
                      <a:cs typeface="+mn-cs"/>
                    </a:rPr>
                    <m:t>)</m:t>
                  </m:r>
                </m:oMath>
              </a14:m>
              <a:r>
                <a:rPr lang="ar-AE" sz="1100">
                  <a:solidFill>
                    <a:schemeClr val="tx1"/>
                  </a:solidFill>
                  <a:effectLst/>
                  <a:latin typeface="+mn-lt"/>
                  <a:ea typeface="+mn-ea"/>
                  <a:cs typeface="+mn-cs"/>
                </a:rPr>
                <a:t>. </a:t>
              </a:r>
              <a:r>
                <a:rPr lang="nb-NO" sz="1100">
                  <a:solidFill>
                    <a:schemeClr val="tx1"/>
                  </a:solidFill>
                  <a:effectLst/>
                  <a:latin typeface="+mn-lt"/>
                  <a:ea typeface="+mn-ea"/>
                  <a:cs typeface="+mn-cs"/>
                </a:rPr>
                <a:t>Hvis disposisjonsfondet allerede er over minimumskravet er det ikke behov for avsetninger. </a:t>
              </a:r>
            </a:p>
            <a:p>
              <a:endParaRPr lang="nb-NO" sz="1100">
                <a:solidFill>
                  <a:schemeClr val="tx1"/>
                </a:solidFill>
                <a:effectLst/>
                <a:latin typeface="+mn-lt"/>
                <a:ea typeface="+mn-ea"/>
                <a:cs typeface="+mn-cs"/>
              </a:endParaRPr>
            </a:p>
            <a:p>
              <a:r>
                <a:rPr lang="nb-NO" sz="1100" b="1">
                  <a:solidFill>
                    <a:schemeClr val="tx1"/>
                  </a:solidFill>
                  <a:effectLst/>
                  <a:latin typeface="+mn-lt"/>
                  <a:ea typeface="+mn-ea"/>
                  <a:cs typeface="+mn-cs"/>
                </a:rPr>
                <a:t>Kortsiktig minimumsnivå for netto driftsresultat for å bygge opp disposisjonsfond</a:t>
              </a:r>
            </a:p>
            <a:p>
              <a:r>
                <a:rPr lang="nb-NO" sz="1100">
                  <a:solidFill>
                    <a:schemeClr val="tx1"/>
                  </a:solidFill>
                  <a:effectLst/>
                  <a:latin typeface="+mn-lt"/>
                  <a:ea typeface="+mn-ea"/>
                  <a:cs typeface="+mn-cs"/>
                </a:rPr>
                <a:t>Dersom en kommune har et lavere disposisjonsfond enn det anbefalte minimumsnivået bør dette bygges opp gjennom økte netto driftsresultater på kort sikt. I modellen har vi satt fire år som periode for å bygge opp disposisjonsfondet i slike tilfeller. Det kortsiktige minimumsnivå for netto driftsresultat består av de langsiktige minimumsnivået pluss en fjerdedel av differansen mellom faktisk disposisjonsfond og anbefalt disposisjonsfond. Dersom kommunen har et disposisjonsfond som er tilstrekkelig stort til å håndtere rimelig risiko vil det kortsiktige minimumsnivået sammenfalle med det langsiktige minimumsnivået.</a:t>
              </a:r>
            </a:p>
          </xdr:txBody>
        </xdr:sp>
      </mc:Choice>
      <mc:Fallback xmlns="">
        <xdr:sp macro="" textlink="">
          <xdr:nvSpPr>
            <xdr:cNvPr id="2" name="TekstSylinder 1">
              <a:extLst>
                <a:ext uri="{FF2B5EF4-FFF2-40B4-BE49-F238E27FC236}">
                  <a16:creationId xmlns:a16="http://schemas.microsoft.com/office/drawing/2014/main" id="{57C642E4-2359-4F16-A8E2-93315EF774CF}"/>
                </a:ext>
              </a:extLst>
            </xdr:cNvPr>
            <xdr:cNvSpPr txBox="1"/>
          </xdr:nvSpPr>
          <xdr:spPr>
            <a:xfrm>
              <a:off x="0" y="0"/>
              <a:ext cx="9150080" cy="335280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b="1">
                  <a:solidFill>
                    <a:schemeClr val="tx1"/>
                  </a:solidFill>
                  <a:effectLst/>
                  <a:latin typeface="+mn-lt"/>
                  <a:ea typeface="+mn-ea"/>
                  <a:cs typeface="+mn-cs"/>
                </a:rPr>
                <a:t>Overordnet om modellen:</a:t>
              </a:r>
              <a:endParaRPr lang="nb-NO">
                <a:effectLst/>
              </a:endParaRPr>
            </a:p>
            <a:p>
              <a:r>
                <a:rPr lang="nb-NO" sz="1100">
                  <a:solidFill>
                    <a:schemeClr val="tx1"/>
                  </a:solidFill>
                  <a:effectLst/>
                  <a:latin typeface="+mn-lt"/>
                  <a:ea typeface="+mn-ea"/>
                  <a:cs typeface="+mn-cs"/>
                </a:rPr>
                <a:t>Dette dokumentet dokumenterer modellen som gir anbefaling om minimumsnivå på netto driftsresultat. For å gjøre anbefalingene operasjonaliserebare er beregningen av anbefalt nivå direkte knyttet til poster i kommunenes «driftsregnskap», «investeringsregnskap» og «balanseregnskap».  Dette notatet dokumenterer hvordan anbefalingene er operasjonalisert og hvilke forutsetninger som legges til grunn.</a:t>
              </a:r>
              <a:endParaRPr lang="nb-NO">
                <a:effectLst/>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r>
                <a:rPr lang="nb-NO" sz="1100">
                  <a:solidFill>
                    <a:schemeClr val="tx1"/>
                  </a:solidFill>
                  <a:effectLst/>
                  <a:latin typeface="+mn-lt"/>
                  <a:ea typeface="+mn-ea"/>
                  <a:cs typeface="+mn-cs"/>
                </a:rPr>
                <a:t> Modellen bygger på en sentral målsetning om </a:t>
              </a:r>
              <a:r>
                <a:rPr lang="nb-NO" sz="1100" b="1">
                  <a:solidFill>
                    <a:schemeClr val="tx1"/>
                  </a:solidFill>
                  <a:effectLst/>
                  <a:latin typeface="+mn-lt"/>
                  <a:ea typeface="+mn-ea"/>
                  <a:cs typeface="+mn-cs"/>
                </a:rPr>
                <a:t>stabil tjenesteproduksjon</a:t>
              </a:r>
              <a:r>
                <a:rPr lang="nb-NO" sz="1100">
                  <a:solidFill>
                    <a:schemeClr val="tx1"/>
                  </a:solidFill>
                  <a:effectLst/>
                  <a:latin typeface="+mn-lt"/>
                  <a:ea typeface="+mn-ea"/>
                  <a:cs typeface="+mn-cs"/>
                </a:rPr>
                <a:t>. For å oppnå dette ligger det inne en delmålsetning om at kommunen må ha </a:t>
              </a:r>
              <a:r>
                <a:rPr lang="nb-NO" sz="1100" b="1">
                  <a:solidFill>
                    <a:schemeClr val="tx1"/>
                  </a:solidFill>
                  <a:effectLst/>
                  <a:latin typeface="+mn-lt"/>
                  <a:ea typeface="+mn-ea"/>
                  <a:cs typeface="+mn-cs"/>
                </a:rPr>
                <a:t>tilstrekkelig buffer</a:t>
              </a:r>
              <a:r>
                <a:rPr lang="nb-NO" sz="1100">
                  <a:solidFill>
                    <a:schemeClr val="tx1"/>
                  </a:solidFill>
                  <a:effectLst/>
                  <a:latin typeface="+mn-lt"/>
                  <a:ea typeface="+mn-ea"/>
                  <a:cs typeface="+mn-cs"/>
                </a:rPr>
                <a:t> til å kunne håndtere et gitt nivå på risiko. </a:t>
              </a:r>
            </a:p>
            <a:p>
              <a:endParaRPr lang="nb-NO" sz="1100">
                <a:solidFill>
                  <a:schemeClr val="tx1"/>
                </a:solidFill>
                <a:effectLst/>
                <a:latin typeface="+mn-lt"/>
                <a:ea typeface="+mn-ea"/>
                <a:cs typeface="+mn-cs"/>
              </a:endParaRPr>
            </a:p>
            <a:p>
              <a:r>
                <a:rPr lang="nb-NO" sz="1100">
                  <a:solidFill>
                    <a:schemeClr val="tx1"/>
                  </a:solidFill>
                  <a:effectLst/>
                  <a:latin typeface="+mn-lt"/>
                  <a:ea typeface="+mn-ea"/>
                  <a:cs typeface="+mn-cs"/>
                </a:rPr>
                <a:t>Modellen har ikke lagt til grunn noe eksplisitt mål om absolutt eller relativ formuesbevaring. Indirekte ligger det imidlertid en forutsetning om «absolutt» formuesbevaring av finanskapitalen. Dersom kommunen har mindre buffer enn minimumsanbefalingen knyttet til å kunne håndtere et gitt risikonivå, vil modellens anbefalte nivå på netto driftsresultat innebære en økning i finansiell formue.   </a:t>
              </a:r>
            </a:p>
            <a:p>
              <a:endParaRPr lang="nb-NO" sz="1100">
                <a:solidFill>
                  <a:schemeClr val="tx1"/>
                </a:solidFill>
                <a:effectLst/>
                <a:latin typeface="+mn-lt"/>
                <a:ea typeface="+mn-ea"/>
                <a:cs typeface="+mn-cs"/>
              </a:endParaRPr>
            </a:p>
            <a:p>
              <a:r>
                <a:rPr lang="nb-NO" sz="1100">
                  <a:solidFill>
                    <a:schemeClr val="tx1"/>
                  </a:solidFill>
                  <a:effectLst/>
                  <a:latin typeface="+mn-lt"/>
                  <a:ea typeface="+mn-ea"/>
                  <a:cs typeface="+mn-cs"/>
                </a:rPr>
                <a:t>Anbefalingen for minimumsnivå på netto driftsresultat har som utgangspunkt at kommunens gjeld ikke skal øke relativt til kommunens forventede sum inntekter. Dersom kommunen ikke vil</a:t>
              </a:r>
              <a:r>
                <a:rPr lang="nb-NO" sz="1100" baseline="0">
                  <a:solidFill>
                    <a:schemeClr val="tx1"/>
                  </a:solidFill>
                  <a:effectLst/>
                  <a:latin typeface="+mn-lt"/>
                  <a:ea typeface="+mn-ea"/>
                  <a:cs typeface="+mn-cs"/>
                </a:rPr>
                <a:t> kunne</a:t>
              </a:r>
              <a:r>
                <a:rPr lang="nb-NO" sz="1100">
                  <a:solidFill>
                    <a:schemeClr val="tx1"/>
                  </a:solidFill>
                  <a:effectLst/>
                  <a:latin typeface="+mn-lt"/>
                  <a:ea typeface="+mn-ea"/>
                  <a:cs typeface="+mn-cs"/>
                </a:rPr>
                <a:t> nå anbefalingen uten å øke gjelda relativt til inntektene sine anbefales kommunen å justere ned driftsutgifter eller investeringer. </a:t>
              </a:r>
            </a:p>
            <a:p>
              <a:r>
                <a:rPr lang="nb-NO" sz="1100">
                  <a:solidFill>
                    <a:schemeClr val="tx1"/>
                  </a:solidFill>
                  <a:effectLst/>
                  <a:latin typeface="+mn-lt"/>
                  <a:ea typeface="+mn-ea"/>
                  <a:cs typeface="+mn-cs"/>
                </a:rPr>
                <a:t>Tabellen nedenfor angir korrespondansen mellom forkortelser og regnskapsvariabler. Disse forkortelsene brukes for å angi presise definisjoner i ligningsform av hvordan modellen er bygd opp. I selve excelverktøyet har vi lagt til grunn kommunekassetall. </a:t>
              </a:r>
            </a:p>
            <a:p>
              <a:endParaRPr lang="nb-NO" sz="1100">
                <a:solidFill>
                  <a:schemeClr val="tx1"/>
                </a:solidFill>
                <a:effectLst/>
                <a:latin typeface="+mn-lt"/>
                <a:ea typeface="+mn-ea"/>
                <a:cs typeface="+mn-cs"/>
              </a:endParaRPr>
            </a:p>
            <a:p>
              <a:r>
                <a:rPr lang="nb-NO" sz="1100">
                  <a:solidFill>
                    <a:schemeClr val="tx1"/>
                  </a:solidFill>
                  <a:effectLst/>
                  <a:latin typeface="+mn-lt"/>
                  <a:ea typeface="+mn-ea"/>
                  <a:cs typeface="+mn-cs"/>
                </a:rPr>
                <a:t>Tabellen nedenfor angir korrespondansen mellom forkortelser og regnskapsvariabler. Disse forkortelsene brukes for å angi presise definisjoner i ligningsform av hvordan modellen er bygd opp. I selve excelverktøyet har vi lagt til grunn kommunekassetall. Modellen tar som utgangspunkt hvordan hver enkelt kommune har styrt økonomien sin. </a:t>
              </a:r>
              <a:r>
                <a:rPr lang="nb-NO" sz="1100" b="1">
                  <a:solidFill>
                    <a:schemeClr val="tx1"/>
                  </a:solidFill>
                  <a:effectLst/>
                  <a:latin typeface="+mn-lt"/>
                  <a:ea typeface="+mn-ea"/>
                  <a:cs typeface="+mn-cs"/>
                </a:rPr>
                <a:t>Dersom en kommune planlegger å styre økonomien annerledes enn den har gjort de siste 5-15 årene er det viktig at den enkelte kommune endrer forutsetningene i modellen for at den skal gi relevante anbefalinger.</a:t>
              </a:r>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r>
                <a:rPr lang="nb-NO" sz="1100">
                  <a:solidFill>
                    <a:schemeClr val="tx1"/>
                  </a:solidFill>
                  <a:effectLst/>
                  <a:latin typeface="+mn-lt"/>
                  <a:ea typeface="+mn-ea"/>
                  <a:cs typeface="+mn-cs"/>
                </a:rPr>
                <a:t> </a:t>
              </a: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r>
                <a:rPr lang="nb-NO" sz="1100" b="1">
                  <a:solidFill>
                    <a:schemeClr val="tx1"/>
                  </a:solidFill>
                  <a:effectLst/>
                  <a:latin typeface="+mn-lt"/>
                  <a:ea typeface="+mn-ea"/>
                  <a:cs typeface="+mn-cs"/>
                </a:rPr>
                <a:t>Stabil tjenesteproduksjon</a:t>
              </a:r>
            </a:p>
            <a:p>
              <a:r>
                <a:rPr lang="nb-NO" sz="1100">
                  <a:solidFill>
                    <a:schemeClr val="tx1"/>
                  </a:solidFill>
                  <a:effectLst/>
                  <a:latin typeface="+mn-lt"/>
                  <a:ea typeface="+mn-ea"/>
                  <a:cs typeface="+mn-cs"/>
                </a:rPr>
                <a:t>Oppsettet forklarer hvordan modellen operasjonaliserer konseptet «stabil tjenesteproduksjon». I dette konseptet ligger det at nivået på både driftsutgifter og investeringsutgifter skal være stabilt relativt til inntekter på sikt. Videre legges det til grunn at gjelden ikke kan vokse raskere enn inntektene.  </a:t>
              </a:r>
            </a:p>
            <a:p>
              <a:endParaRPr lang="nb-NO" sz="1100">
                <a:solidFill>
                  <a:schemeClr val="tx1"/>
                </a:solidFill>
                <a:effectLst/>
                <a:latin typeface="+mn-lt"/>
                <a:ea typeface="+mn-ea"/>
                <a:cs typeface="+mn-cs"/>
              </a:endParaRPr>
            </a:p>
            <a:p>
              <a:pPr/>
              <a:r>
                <a:rPr lang="ar-AE" sz="1100" i="0">
                  <a:solidFill>
                    <a:schemeClr val="tx1"/>
                  </a:solidFill>
                  <a:effectLst/>
                  <a:latin typeface="Cambria Math" panose="02040503050406030204" pitchFamily="18" charset="0"/>
                  <a:ea typeface="+mn-ea"/>
                  <a:cs typeface="+mn-cs"/>
                </a:rPr>
                <a:t>〖𝐷𝑈〗_𝑡=〖(𝐸[𝐷𝐼〗_𝑡]+〖𝐸[𝐹𝐼〗_𝑡])∗∑1_(𝑥=2015)</a:t>
              </a:r>
              <a:r>
                <a:rPr lang="nb-NO" sz="1100" b="0" i="0">
                  <a:solidFill>
                    <a:schemeClr val="tx1"/>
                  </a:solidFill>
                  <a:effectLst/>
                  <a:latin typeface="Cambria Math" panose="02040503050406030204" pitchFamily="18" charset="0"/>
                  <a:ea typeface="+mn-ea"/>
                  <a:cs typeface="+mn-cs"/>
                </a:rPr>
                <a:t>^</a:t>
              </a:r>
              <a:r>
                <a:rPr lang="ar-AE" sz="1100" i="0">
                  <a:solidFill>
                    <a:schemeClr val="tx1"/>
                  </a:solidFill>
                  <a:effectLst/>
                  <a:latin typeface="Cambria Math" panose="02040503050406030204" pitchFamily="18" charset="0"/>
                  <a:ea typeface="+mn-ea"/>
                  <a:cs typeface="+mn-cs"/>
                </a:rPr>
                <a:t>20</a:t>
              </a:r>
              <a:r>
                <a:rPr lang="nb-NO" sz="1100" b="0" i="0">
                  <a:solidFill>
                    <a:schemeClr val="tx1"/>
                  </a:solidFill>
                  <a:effectLst/>
                  <a:latin typeface="Cambria Math" panose="02040503050406030204" pitchFamily="18" charset="0"/>
                  <a:ea typeface="+mn-ea"/>
                  <a:cs typeface="+mn-cs"/>
                </a:rPr>
                <a:t>20</a:t>
              </a:r>
              <a:r>
                <a:rPr lang="ar-AE" sz="1100" b="0" i="0">
                  <a:solidFill>
                    <a:schemeClr val="tx1"/>
                  </a:solidFill>
                  <a:effectLst/>
                  <a:latin typeface="Cambria Math" panose="02040503050406030204" pitchFamily="18" charset="0"/>
                  <a:ea typeface="+mn-ea"/>
                  <a:cs typeface="+mn-cs"/>
                </a:rPr>
                <a:t>▒〖</a:t>
              </a:r>
              <a:r>
                <a:rPr lang="ar-AE" sz="1100" i="0">
                  <a:solidFill>
                    <a:schemeClr val="tx1"/>
                  </a:solidFill>
                  <a:effectLst/>
                  <a:latin typeface="Cambria Math" panose="02040503050406030204" pitchFamily="18" charset="0"/>
                  <a:ea typeface="+mn-ea"/>
                  <a:cs typeface="+mn-cs"/>
                </a:rPr>
                <a:t>𝐷𝑈〗_(𝑥,𝑖)/(〖𝐷𝐼〗_(𝑥,𝑖)+〖𝐹𝐼〗_(𝑥,𝑖) )</a:t>
              </a:r>
              <a:endParaRPr lang="ar-AE" sz="1100">
                <a:solidFill>
                  <a:schemeClr val="tx1"/>
                </a:solidFill>
                <a:effectLst/>
                <a:latin typeface="+mn-lt"/>
                <a:ea typeface="+mn-ea"/>
                <a:cs typeface="+mn-cs"/>
              </a:endParaRPr>
            </a:p>
            <a:p>
              <a:endParaRPr lang="ar-AE" sz="1100">
                <a:solidFill>
                  <a:schemeClr val="tx1"/>
                </a:solidFill>
                <a:effectLst/>
                <a:latin typeface="+mn-lt"/>
                <a:ea typeface="+mn-ea"/>
                <a:cs typeface="+mn-cs"/>
              </a:endParaRPr>
            </a:p>
            <a:p>
              <a:r>
                <a:rPr lang="nb-NO" sz="1100">
                  <a:solidFill>
                    <a:schemeClr val="tx1"/>
                  </a:solidFill>
                  <a:effectLst/>
                  <a:latin typeface="+mn-lt"/>
                  <a:ea typeface="+mn-ea"/>
                  <a:cs typeface="+mn-cs"/>
                </a:rPr>
                <a:t>Ligningen ovenfor fastslår at for å oppnå stabil tjenesteproduksjon må nivået på driftsutgifter i år t (</a:t>
              </a:r>
              <a:r>
                <a:rPr lang="ar-AE" sz="1100" i="0">
                  <a:solidFill>
                    <a:schemeClr val="tx1"/>
                  </a:solidFill>
                  <a:effectLst/>
                  <a:latin typeface="Cambria Math" panose="02040503050406030204" pitchFamily="18" charset="0"/>
                  <a:ea typeface="+mn-ea"/>
                  <a:cs typeface="+mn-cs"/>
                </a:rPr>
                <a:t>〖𝐷𝑈〗_𝑡)</a:t>
              </a:r>
              <a:r>
                <a:rPr lang="nb-NO" sz="1100">
                  <a:solidFill>
                    <a:schemeClr val="tx1"/>
                  </a:solidFill>
                  <a:effectLst/>
                  <a:latin typeface="+mn-lt"/>
                  <a:ea typeface="+mn-ea"/>
                  <a:cs typeface="+mn-cs"/>
                </a:rPr>
                <a:t>tilsvare en fast andel av forventede inntekter, basert på historisk andel de siste fem åra (2013-2017). Nivået på driftsutgifter som andel av inntekter som tilsvarer stabil tjenesteproduksjon kan også justeres i modellen av kommunen selv.</a:t>
              </a:r>
            </a:p>
            <a:p>
              <a:endParaRPr lang="nb-NO" sz="1100">
                <a:solidFill>
                  <a:schemeClr val="tx1"/>
                </a:solidFill>
                <a:effectLst/>
                <a:latin typeface="+mn-lt"/>
                <a:ea typeface="+mn-ea"/>
                <a:cs typeface="+mn-cs"/>
              </a:endParaRPr>
            </a:p>
            <a:p>
              <a:r>
                <a:rPr lang="nb-NO" sz="1100">
                  <a:solidFill>
                    <a:schemeClr val="tx1"/>
                  </a:solidFill>
                  <a:effectLst/>
                  <a:latin typeface="+mn-lt"/>
                  <a:ea typeface="+mn-ea"/>
                  <a:cs typeface="+mn-cs"/>
                </a:rPr>
                <a:t>Driftsutgifter er definert som </a:t>
              </a:r>
              <a:r>
                <a:rPr lang="nb-NO" sz="1100" i="1">
                  <a:solidFill>
                    <a:schemeClr val="tx1"/>
                  </a:solidFill>
                  <a:effectLst/>
                  <a:latin typeface="+mn-lt"/>
                  <a:ea typeface="+mn-ea"/>
                  <a:cs typeface="+mn-cs"/>
                </a:rPr>
                <a:t>Sum driftsutgifter (B)-Avskrivinger (L18). </a:t>
              </a:r>
              <a:r>
                <a:rPr lang="nb-NO" sz="1100">
                  <a:solidFill>
                    <a:schemeClr val="tx1"/>
                  </a:solidFill>
                  <a:effectLst/>
                  <a:latin typeface="+mn-lt"/>
                  <a:ea typeface="+mn-ea"/>
                  <a:cs typeface="+mn-cs"/>
                </a:rPr>
                <a:t>Driftsinntekter definert som </a:t>
              </a:r>
              <a:r>
                <a:rPr lang="nb-NO" sz="1100" i="1">
                  <a:solidFill>
                    <a:schemeClr val="tx1"/>
                  </a:solidFill>
                  <a:effectLst/>
                  <a:latin typeface="+mn-lt"/>
                  <a:ea typeface="+mn-ea"/>
                  <a:cs typeface="+mn-cs"/>
                </a:rPr>
                <a:t>Sum driftsinntekter (A).</a:t>
              </a:r>
              <a:r>
                <a:rPr lang="nb-NO" sz="1100">
                  <a:solidFill>
                    <a:schemeClr val="tx1"/>
                  </a:solidFill>
                  <a:effectLst/>
                  <a:latin typeface="+mn-lt"/>
                  <a:ea typeface="+mn-ea"/>
                  <a:cs typeface="+mn-cs"/>
                </a:rPr>
                <a:t> Finansinntekter er definert som Renteinntekter, utbytte og eieruttak (L22).  Det er her implisitt antatt at Mottatte avdrag på utlån (L24) og Gevinst finansielle instrumenter (L23) er lik null på sikt. For noen kommuner vil en slik antagelse anses som urealistisk da de budsjetterer med forventede gevinster (eller tap) på finansielle instrumenter. Her er det verdt å merke seg at modellen viser økonomisk balanse på lang sikt. Slik vi vurderer det vil gevinster/tap på finansielle instrumenter på lang sikt forventes å gjenspeiles i økte/reduserte renteinntekter, utbytte og eieruttak fra de samme instrumentene ved at beregningsgrunnlaget for finansinntektene, det vil si finansformuen, øker. I den grad kommunen likevel mener det er grunnlag for at «forventet avkastning på finansformue» er høyere eller lavere enn det som fremgår av kun renteinntekter, utbygge og eieruttak kan dette justeres av den enkelte kommunen selv i modellen. </a:t>
              </a:r>
            </a:p>
            <a:p>
              <a:endParaRPr lang="nb-NO" sz="1100">
                <a:solidFill>
                  <a:schemeClr val="tx1"/>
                </a:solidFill>
                <a:effectLst/>
                <a:latin typeface="+mn-lt"/>
                <a:ea typeface="+mn-ea"/>
                <a:cs typeface="+mn-cs"/>
              </a:endParaRPr>
            </a:p>
            <a:p>
              <a:pPr/>
              <a:r>
                <a:rPr lang="ar-AE" sz="1100" i="0">
                  <a:solidFill>
                    <a:schemeClr val="tx1"/>
                  </a:solidFill>
                  <a:effectLst/>
                  <a:latin typeface="Cambria Math" panose="02040503050406030204" pitchFamily="18" charset="0"/>
                  <a:ea typeface="+mn-ea"/>
                  <a:cs typeface="+mn-cs"/>
                </a:rPr>
                <a:t>𝐼_(𝑡,𝑖)=∑1_(𝑥=2006)</a:t>
              </a:r>
              <a:r>
                <a:rPr lang="nb-NO" sz="1100" b="0" i="0">
                  <a:solidFill>
                    <a:schemeClr val="tx1"/>
                  </a:solidFill>
                  <a:effectLst/>
                  <a:latin typeface="Cambria Math" panose="02040503050406030204" pitchFamily="18" charset="0"/>
                  <a:ea typeface="+mn-ea"/>
                  <a:cs typeface="+mn-cs"/>
                </a:rPr>
                <a:t>^</a:t>
              </a:r>
              <a:r>
                <a:rPr lang="ar-AE" sz="1100" i="0">
                  <a:solidFill>
                    <a:schemeClr val="tx1"/>
                  </a:solidFill>
                  <a:effectLst/>
                  <a:latin typeface="Cambria Math" panose="02040503050406030204" pitchFamily="18" charset="0"/>
                  <a:ea typeface="+mn-ea"/>
                  <a:cs typeface="+mn-cs"/>
                </a:rPr>
                <a:t>20</a:t>
              </a:r>
              <a:r>
                <a:rPr lang="nb-NO" sz="1100" b="0" i="0">
                  <a:solidFill>
                    <a:schemeClr val="tx1"/>
                  </a:solidFill>
                  <a:effectLst/>
                  <a:latin typeface="Cambria Math" panose="02040503050406030204" pitchFamily="18" charset="0"/>
                  <a:ea typeface="+mn-ea"/>
                  <a:cs typeface="+mn-cs"/>
                </a:rPr>
                <a:t>20</a:t>
              </a:r>
              <a:r>
                <a:rPr lang="ar-AE" sz="1100" b="0" i="0">
                  <a:solidFill>
                    <a:schemeClr val="tx1"/>
                  </a:solidFill>
                  <a:effectLst/>
                  <a:latin typeface="Cambria Math" panose="02040503050406030204" pitchFamily="18" charset="0"/>
                  <a:ea typeface="+mn-ea"/>
                  <a:cs typeface="+mn-cs"/>
                </a:rPr>
                <a:t>▒</a:t>
              </a:r>
              <a:r>
                <a:rPr lang="ar-AE" sz="1100" i="0">
                  <a:solidFill>
                    <a:schemeClr val="tx1"/>
                  </a:solidFill>
                  <a:effectLst/>
                  <a:latin typeface="Cambria Math" panose="02040503050406030204" pitchFamily="18" charset="0"/>
                  <a:ea typeface="+mn-ea"/>
                  <a:cs typeface="+mn-cs"/>
                </a:rPr>
                <a:t>𝐼_(𝑥,𝑖)/〖𝐷𝑈〗_(𝑥,𝑖) ∗〖𝐷𝑈〗_𝑡</a:t>
              </a:r>
              <a:endParaRPr lang="ar-AE" sz="1100">
                <a:solidFill>
                  <a:schemeClr val="tx1"/>
                </a:solidFill>
                <a:effectLst/>
                <a:latin typeface="+mn-lt"/>
                <a:ea typeface="+mn-ea"/>
                <a:cs typeface="+mn-cs"/>
              </a:endParaRPr>
            </a:p>
            <a:p>
              <a:endParaRPr lang="ar-AE" sz="1100" i="1">
                <a:solidFill>
                  <a:schemeClr val="tx1"/>
                </a:solidFill>
                <a:effectLst/>
                <a:latin typeface="+mn-lt"/>
                <a:ea typeface="+mn-ea"/>
                <a:cs typeface="+mn-cs"/>
              </a:endParaRPr>
            </a:p>
            <a:p>
              <a:r>
                <a:rPr lang="ar-AE" sz="1100" i="0">
                  <a:solidFill>
                    <a:schemeClr val="tx1"/>
                  </a:solidFill>
                  <a:effectLst/>
                  <a:latin typeface="Cambria Math" panose="02040503050406030204" pitchFamily="18" charset="0"/>
                  <a:ea typeface="+mn-ea"/>
                  <a:cs typeface="+mn-cs"/>
                </a:rPr>
                <a:t>𝐼_(𝑡,𝑖)</a:t>
              </a:r>
              <a:r>
                <a:rPr lang="nb-NO" sz="1100">
                  <a:solidFill>
                    <a:schemeClr val="tx1"/>
                  </a:solidFill>
                  <a:effectLst/>
                  <a:latin typeface="+mn-lt"/>
                  <a:ea typeface="+mn-ea"/>
                  <a:cs typeface="+mn-cs"/>
                </a:rPr>
                <a:t>kan tolkes som nivået på investeringer kommunen bør ha over tid for å oppnå stabil tjenesteproduksjon. Vi bruker her et snitt over hele tolv år ettersom investeringer gjerne svinger mye fra år til år. Dersom det ikke trengs store investeringer ett enkeltår kan det tolkes som investeringer pluss nødvendige avsetninger til investeringsfond for å oppnå stabil tjenesteproduksjon på sikt. Investeringer er definert som </a:t>
              </a:r>
              <a:r>
                <a:rPr lang="nb-NO" sz="1100" i="1">
                  <a:solidFill>
                    <a:schemeClr val="tx1"/>
                  </a:solidFill>
                  <a:effectLst/>
                  <a:latin typeface="+mn-lt"/>
                  <a:ea typeface="+mn-ea"/>
                  <a:cs typeface="+mn-cs"/>
                </a:rPr>
                <a:t>Sum utgifter (B) </a:t>
              </a:r>
              <a:r>
                <a:rPr lang="nb-NO" sz="1100">
                  <a:solidFill>
                    <a:schemeClr val="tx1"/>
                  </a:solidFill>
                  <a:effectLst/>
                  <a:latin typeface="+mn-lt"/>
                  <a:ea typeface="+mn-ea"/>
                  <a:cs typeface="+mn-cs"/>
                </a:rPr>
                <a:t>i investeringsregnskap. Nivået på investeringsutgifter som andel av inntekter som tilsvarer stabil tjenesteproduksjon kan også justeres i modellen av kommunen selv.</a:t>
              </a:r>
            </a:p>
            <a:p>
              <a:endParaRPr lang="nb-NO" sz="1100">
                <a:solidFill>
                  <a:schemeClr val="tx1"/>
                </a:solidFill>
                <a:effectLst/>
                <a:latin typeface="+mn-lt"/>
                <a:ea typeface="+mn-ea"/>
                <a:cs typeface="+mn-cs"/>
              </a:endParaRPr>
            </a:p>
            <a:p>
              <a:pPr/>
              <a:r>
                <a:rPr lang="ar-AE" sz="1100" i="0">
                  <a:solidFill>
                    <a:schemeClr val="tx1"/>
                  </a:solidFill>
                  <a:effectLst/>
                  <a:latin typeface="Cambria Math" panose="02040503050406030204" pitchFamily="18" charset="0"/>
                  <a:ea typeface="+mn-ea"/>
                  <a:cs typeface="+mn-cs"/>
                </a:rPr>
                <a:t>〖𝐺𝑗𝑒𝑙𝑑〗_𝑡/(〖𝐸[𝐷𝐼〗_𝑡]+〖𝐸[𝐹𝐼〗_𝑡])&lt;=𝐾𝑜𝑛𝑠𝑡𝑎𝑛𝑡</a:t>
              </a:r>
              <a:endParaRPr lang="ar-AE" sz="1100">
                <a:solidFill>
                  <a:schemeClr val="tx1"/>
                </a:solidFill>
                <a:effectLst/>
                <a:latin typeface="+mn-lt"/>
                <a:ea typeface="+mn-ea"/>
                <a:cs typeface="+mn-cs"/>
              </a:endParaRPr>
            </a:p>
            <a:p>
              <a:endParaRPr lang="ar-AE" sz="1100">
                <a:solidFill>
                  <a:schemeClr val="tx1"/>
                </a:solidFill>
                <a:effectLst/>
                <a:latin typeface="+mn-lt"/>
                <a:ea typeface="+mn-ea"/>
                <a:cs typeface="+mn-cs"/>
              </a:endParaRPr>
            </a:p>
            <a:p>
              <a:r>
                <a:rPr lang="nb-NO" sz="1100">
                  <a:solidFill>
                    <a:schemeClr val="tx1"/>
                  </a:solidFill>
                  <a:effectLst/>
                  <a:latin typeface="+mn-lt"/>
                  <a:ea typeface="+mn-ea"/>
                  <a:cs typeface="+mn-cs"/>
                </a:rPr>
                <a:t>Krav om at gjelda ikke vokser raskere enn inntektene. Gjeld defineres som </a:t>
              </a:r>
              <a:r>
                <a:rPr lang="nb-NO" sz="1100" i="1">
                  <a:solidFill>
                    <a:schemeClr val="tx1"/>
                  </a:solidFill>
                  <a:effectLst/>
                  <a:latin typeface="+mn-lt"/>
                  <a:ea typeface="+mn-ea"/>
                  <a:cs typeface="+mn-cs"/>
                </a:rPr>
                <a:t>Sum Langsiktig Gjeld (E) – Pensjonsforpliktelse (2.4 og 5.4) -Konsernintern langsiktig gjeld (2.47+5.47+kap 47 i lånefond). </a:t>
              </a:r>
              <a:r>
                <a:rPr lang="nb-NO" sz="1100">
                  <a:solidFill>
                    <a:schemeClr val="tx1"/>
                  </a:solidFill>
                  <a:effectLst/>
                  <a:latin typeface="+mn-lt"/>
                  <a:ea typeface="+mn-ea"/>
                  <a:cs typeface="+mn-cs"/>
                </a:rPr>
                <a:t>Alle er poster i balanseregnskapet. Det ønskede langsiktige gjeldsnivået som andel av inntekter kan også justeres i modellen av kommunen selv. Modellen tar høyde for implikasjonene av slike justeringen i sine anbefalinger om minimumsnivå på netto driftsresultat. </a:t>
              </a:r>
            </a:p>
            <a:p>
              <a:endParaRPr lang="nb-NO" sz="1100">
                <a:solidFill>
                  <a:schemeClr val="tx1"/>
                </a:solidFill>
                <a:effectLst/>
                <a:latin typeface="+mn-lt"/>
                <a:ea typeface="+mn-ea"/>
                <a:cs typeface="+mn-cs"/>
              </a:endParaRPr>
            </a:p>
            <a:p>
              <a:r>
                <a:rPr lang="nb-NO" sz="1100" b="1">
                  <a:solidFill>
                    <a:schemeClr val="tx1"/>
                  </a:solidFill>
                  <a:effectLst/>
                  <a:latin typeface="+mn-lt"/>
                  <a:ea typeface="+mn-ea"/>
                  <a:cs typeface="+mn-cs"/>
                </a:rPr>
                <a:t>Netto driftsresultat </a:t>
              </a:r>
            </a:p>
            <a:p>
              <a:endParaRPr lang="nb-NO" sz="1100" b="1">
                <a:solidFill>
                  <a:schemeClr val="tx1"/>
                </a:solidFill>
                <a:effectLst/>
                <a:latin typeface="+mn-lt"/>
                <a:ea typeface="+mn-ea"/>
                <a:cs typeface="+mn-cs"/>
              </a:endParaRPr>
            </a:p>
            <a:p>
              <a:pPr/>
              <a:r>
                <a:rPr lang="ar-AE" sz="1100" i="0">
                  <a:solidFill>
                    <a:schemeClr val="tx1"/>
                  </a:solidFill>
                  <a:effectLst/>
                  <a:latin typeface="Cambria Math" panose="02040503050406030204" pitchFamily="18" charset="0"/>
                  <a:ea typeface="+mn-ea"/>
                  <a:cs typeface="+mn-cs"/>
                </a:rPr>
                <a:t>〖𝑁𝐷𝑟〗_(𝑡,𝑖)=〖𝐸[𝐷𝐼〗_(𝑡,𝑖)]−〖𝐷𝑈〗_(𝑡,𝑖)−〖𝑅𝑈〗_(𝑡,𝑖)−〖𝐴𝑣𝑑𝑟𝑎𝑔〗_(𝑡,𝑖)+〖𝐸[𝐹𝐼〗_(𝑡,𝑖)]&gt;=𝐼_(𝑡,𝑖)+〖𝐴𝑣𝑠_𝑑𝑖𝑠𝑝𝑓〗_(𝑡,𝑖)−𝐸[〖𝐼𝑛𝑣.𝑖𝑛𝑛𝑡〗_(𝑡,𝑖)]−〖𝐵𝑟𝐿</a:t>
              </a:r>
              <a:r>
                <a:rPr lang="nb-NO" sz="1100" i="0">
                  <a:solidFill>
                    <a:schemeClr val="tx1"/>
                  </a:solidFill>
                  <a:effectLst/>
                  <a:latin typeface="Cambria Math" panose="02040503050406030204" pitchFamily="18" charset="0"/>
                  <a:ea typeface="+mn-ea"/>
                  <a:cs typeface="+mn-cs"/>
                </a:rPr>
                <a:t>å𝑛𝑒𝑜𝑝𝑝𝑡𝑎𝑘</a:t>
              </a:r>
              <a:r>
                <a:rPr lang="ar-AE" sz="1100" i="0">
                  <a:solidFill>
                    <a:schemeClr val="tx1"/>
                  </a:solidFill>
                  <a:effectLst/>
                  <a:latin typeface="Cambria Math" panose="02040503050406030204" pitchFamily="18" charset="0"/>
                  <a:ea typeface="+mn-ea"/>
                  <a:cs typeface="+mn-cs"/>
                </a:rPr>
                <a:t>〗_(𝑡,𝑖)  </a:t>
              </a:r>
              <a:endParaRPr lang="ar-AE" sz="1100">
                <a:solidFill>
                  <a:schemeClr val="tx1"/>
                </a:solidFill>
                <a:effectLst/>
                <a:latin typeface="+mn-lt"/>
                <a:ea typeface="+mn-ea"/>
                <a:cs typeface="+mn-cs"/>
              </a:endParaRPr>
            </a:p>
            <a:p>
              <a:endParaRPr lang="ar-AE"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a:solidFill>
                    <a:schemeClr val="tx1"/>
                  </a:solidFill>
                  <a:effectLst/>
                  <a:latin typeface="+mn-lt"/>
                  <a:ea typeface="+mn-ea"/>
                  <a:cs typeface="+mn-cs"/>
                </a:rPr>
                <a:t>Venstresida av ulikheten er nivået på netto driftsresultat kommunen vil oppnå dersom de styrer økonomien sin slik de har gjort historisk, gitt stabil tjenesteproduksjon og forventninger om langsiktig fremtidig inntektsvekst. Vi omtaler dette som kommunens forventede netto driftsresultat. Høyresida er minimumsnivået på nettodriftsresultat, gitt stabil tjenesteproduksjon og avsetninger til disposisjonsfond for risikohåndtering (dersom nødvendig). Minimumsnivået angir hvor høyt nettodriftsresultat må være for å finansiere investeringene og eventuelle avsetninger under forutsetning om at gjelden som andel av inntektene ikke øker. Renteutgifter defineres som </a:t>
              </a:r>
              <a:r>
                <a:rPr lang="nb-NO" sz="1100" i="1">
                  <a:solidFill>
                    <a:schemeClr val="tx1"/>
                  </a:solidFill>
                  <a:effectLst/>
                  <a:latin typeface="+mn-lt"/>
                  <a:ea typeface="+mn-ea"/>
                  <a:cs typeface="+mn-cs"/>
                </a:rPr>
                <a:t>Renteutgifter, provisjoner og andre finansutgifter (L26) i driftsregnskap. </a:t>
              </a:r>
              <a:r>
                <a:rPr lang="nb-NO" sz="1100">
                  <a:solidFill>
                    <a:schemeClr val="tx1"/>
                  </a:solidFill>
                  <a:effectLst/>
                  <a:latin typeface="+mn-lt"/>
                  <a:ea typeface="+mn-ea"/>
                  <a:cs typeface="+mn-cs"/>
                </a:rPr>
                <a:t> </a:t>
              </a:r>
            </a:p>
            <a:p>
              <a:endParaRPr lang="nb-NO" sz="1100">
                <a:solidFill>
                  <a:schemeClr val="tx1"/>
                </a:solidFill>
                <a:effectLst/>
                <a:latin typeface="+mn-lt"/>
                <a:ea typeface="+mn-ea"/>
                <a:cs typeface="+mn-cs"/>
              </a:endParaRPr>
            </a:p>
            <a:p>
              <a:r>
                <a:rPr lang="nb-NO" sz="1100">
                  <a:solidFill>
                    <a:schemeClr val="tx1"/>
                  </a:solidFill>
                  <a:effectLst/>
                  <a:latin typeface="+mn-lt"/>
                  <a:ea typeface="+mn-ea"/>
                  <a:cs typeface="+mn-cs"/>
                </a:rPr>
                <a:t>Nedenfor følger beskrivelse av hvordan vi beregner de ulike postene i ulikheten ovenfor:</a:t>
              </a:r>
            </a:p>
            <a:p>
              <a:endParaRPr lang="nb-NO" sz="1100">
                <a:solidFill>
                  <a:schemeClr val="tx1"/>
                </a:solidFill>
                <a:effectLst/>
                <a:latin typeface="+mn-lt"/>
                <a:ea typeface="+mn-ea"/>
                <a:cs typeface="+mn-cs"/>
              </a:endParaRPr>
            </a:p>
            <a:p>
              <a:pPr/>
              <a:r>
                <a:rPr lang="ar-AE" sz="1100" i="0">
                  <a:solidFill>
                    <a:schemeClr val="tx1"/>
                  </a:solidFill>
                  <a:effectLst/>
                  <a:latin typeface="Cambria Math" panose="02040503050406030204" pitchFamily="18" charset="0"/>
                  <a:ea typeface="+mn-ea"/>
                  <a:cs typeface="+mn-cs"/>
                </a:rPr>
                <a:t>〖𝐸[𝐷𝐼〗_(𝑡,𝑖)]=〖𝐷𝐼〗_(𝑡−1,𝑖)∗〖𝐹𝑜𝑟𝑣𝑒𝑛𝑡𝑒𝑡_𝑣𝑒𝑘𝑠𝑡〗_(𝑡,𝑖)</a:t>
              </a:r>
              <a:endParaRPr lang="ar-AE" sz="1100">
                <a:solidFill>
                  <a:schemeClr val="tx1"/>
                </a:solidFill>
                <a:effectLst/>
                <a:latin typeface="+mn-lt"/>
                <a:ea typeface="+mn-ea"/>
                <a:cs typeface="+mn-cs"/>
              </a:endParaRPr>
            </a:p>
            <a:p>
              <a:endParaRPr lang="ar-AE" sz="1100">
                <a:solidFill>
                  <a:schemeClr val="tx1"/>
                </a:solidFill>
                <a:effectLst/>
                <a:latin typeface="+mn-lt"/>
                <a:ea typeface="+mn-ea"/>
                <a:cs typeface="+mn-cs"/>
              </a:endParaRPr>
            </a:p>
            <a:p>
              <a:r>
                <a:rPr lang="nb-NO" sz="1100">
                  <a:solidFill>
                    <a:schemeClr val="tx1"/>
                  </a:solidFill>
                  <a:effectLst/>
                  <a:latin typeface="+mn-lt"/>
                  <a:ea typeface="+mn-ea"/>
                  <a:cs typeface="+mn-cs"/>
                </a:rPr>
                <a:t>Forventede driftsinntekter beregnes ved å ta fjorårets driftsinntekter multiplisert med langsiktig forventet vekst i driftsinntekter. For at modellens anbefaling skal sikte mot stabil tjenesteproduksjon er det viktig at man her legger til grunn den gjennomsnittlige forventede inntektsveksten på lang sikt (10-20 år). Som langsiktig prognose antar vi en nominell vekst på 3,5 prosent i driftsinntekter. Dersom dagens prisvekst i kommunal sektor holder seg konstant tilsvarer dette en realvekst på om lag 1 prosent. I modellen kan kommunen selv justere både forventet langsiktig prisvekst i kommunal sektor og forventet langsiktig realinntektsvekst hver for seg.</a:t>
              </a:r>
            </a:p>
            <a:p>
              <a:endParaRPr lang="nb-NO" sz="1100">
                <a:solidFill>
                  <a:schemeClr val="tx1"/>
                </a:solidFill>
                <a:effectLst/>
                <a:latin typeface="+mn-lt"/>
                <a:ea typeface="+mn-ea"/>
                <a:cs typeface="+mn-cs"/>
              </a:endParaRPr>
            </a:p>
            <a:p>
              <a:pPr/>
              <a:r>
                <a:rPr lang="ar-AE" sz="1100" i="0">
                  <a:solidFill>
                    <a:schemeClr val="tx1"/>
                  </a:solidFill>
                  <a:effectLst/>
                  <a:latin typeface="Cambria Math" panose="02040503050406030204" pitchFamily="18" charset="0"/>
                  <a:ea typeface="+mn-ea"/>
                  <a:cs typeface="+mn-cs"/>
                </a:rPr>
                <a:t>〖𝐸[𝐹𝐼〗_(𝑡,𝑖)]=〖𝐸[𝑎𝑣𝑘〗_(𝑡,𝑖)]∗〖𝐹𝐹〗_(𝑡−1,𝑖)=∑1_(𝑥=2015)</a:t>
              </a:r>
              <a:r>
                <a:rPr lang="nb-NO" sz="1100" b="0" i="0">
                  <a:solidFill>
                    <a:schemeClr val="tx1"/>
                  </a:solidFill>
                  <a:effectLst/>
                  <a:latin typeface="Cambria Math" panose="02040503050406030204" pitchFamily="18" charset="0"/>
                  <a:ea typeface="+mn-ea"/>
                  <a:cs typeface="+mn-cs"/>
                </a:rPr>
                <a:t>^</a:t>
              </a:r>
              <a:r>
                <a:rPr lang="ar-AE" sz="1100" i="0">
                  <a:solidFill>
                    <a:schemeClr val="tx1"/>
                  </a:solidFill>
                  <a:effectLst/>
                  <a:latin typeface="Cambria Math" panose="02040503050406030204" pitchFamily="18" charset="0"/>
                  <a:ea typeface="+mn-ea"/>
                  <a:cs typeface="+mn-cs"/>
                </a:rPr>
                <a:t>20</a:t>
              </a:r>
              <a:r>
                <a:rPr lang="nb-NO" sz="1100" b="0" i="0">
                  <a:solidFill>
                    <a:schemeClr val="tx1"/>
                  </a:solidFill>
                  <a:effectLst/>
                  <a:latin typeface="Cambria Math" panose="02040503050406030204" pitchFamily="18" charset="0"/>
                  <a:ea typeface="+mn-ea"/>
                  <a:cs typeface="+mn-cs"/>
                </a:rPr>
                <a:t>20</a:t>
              </a:r>
              <a:r>
                <a:rPr lang="ar-AE" sz="1100" b="0" i="0">
                  <a:solidFill>
                    <a:schemeClr val="tx1"/>
                  </a:solidFill>
                  <a:effectLst/>
                  <a:latin typeface="Cambria Math" panose="02040503050406030204" pitchFamily="18" charset="0"/>
                  <a:ea typeface="+mn-ea"/>
                  <a:cs typeface="+mn-cs"/>
                </a:rPr>
                <a:t>▒</a:t>
              </a:r>
              <a:r>
                <a:rPr lang="nb-NO" sz="1100" b="0" i="0">
                  <a:solidFill>
                    <a:schemeClr val="tx1"/>
                  </a:solidFill>
                  <a:effectLst/>
                  <a:latin typeface="Cambria Math" panose="02040503050406030204" pitchFamily="18" charset="0"/>
                  <a:ea typeface="+mn-ea"/>
                  <a:cs typeface="+mn-cs"/>
                </a:rPr>
                <a:t>〖</a:t>
              </a:r>
              <a:r>
                <a:rPr lang="ar-AE" sz="1100" b="0" i="0">
                  <a:solidFill>
                    <a:schemeClr val="tx1"/>
                  </a:solidFill>
                  <a:effectLst/>
                  <a:latin typeface="Cambria Math" panose="02040503050406030204" pitchFamily="18" charset="0"/>
                  <a:ea typeface="+mn-ea"/>
                  <a:cs typeface="+mn-cs"/>
                </a:rPr>
                <a:t>〖</a:t>
              </a:r>
              <a:r>
                <a:rPr lang="ar-AE" sz="1100" i="0">
                  <a:solidFill>
                    <a:schemeClr val="tx1"/>
                  </a:solidFill>
                  <a:effectLst/>
                  <a:latin typeface="Cambria Math" panose="02040503050406030204" pitchFamily="18" charset="0"/>
                  <a:ea typeface="+mn-ea"/>
                  <a:cs typeface="+mn-cs"/>
                </a:rPr>
                <a:t>𝐹𝐼〗_(𝑥,𝑖)/〖𝐹𝐹〗_(𝑥,𝑖) ∗〖𝐹𝐹〗_(𝑡−1,𝑖) </a:t>
              </a:r>
              <a:r>
                <a:rPr lang="nb-NO" sz="1100" b="0" i="0">
                  <a:solidFill>
                    <a:schemeClr val="tx1"/>
                  </a:solidFill>
                  <a:effectLst/>
                  <a:latin typeface="Cambria Math" panose="02040503050406030204" pitchFamily="18" charset="0"/>
                  <a:ea typeface="+mn-ea"/>
                  <a:cs typeface="+mn-cs"/>
                </a:rPr>
                <a:t>〗</a:t>
              </a:r>
              <a:endParaRPr lang="ar-AE" sz="1100">
                <a:solidFill>
                  <a:schemeClr val="tx1"/>
                </a:solidFill>
                <a:effectLst/>
                <a:latin typeface="+mn-lt"/>
                <a:ea typeface="+mn-ea"/>
                <a:cs typeface="+mn-cs"/>
              </a:endParaRPr>
            </a:p>
            <a:p>
              <a:endParaRPr lang="ar-AE" sz="1100" i="1">
                <a:solidFill>
                  <a:schemeClr val="tx1"/>
                </a:solidFill>
                <a:effectLst/>
                <a:latin typeface="+mn-lt"/>
                <a:ea typeface="+mn-ea"/>
                <a:cs typeface="+mn-cs"/>
              </a:endParaRPr>
            </a:p>
            <a:p>
              <a:r>
                <a:rPr lang="ar-AE" sz="1100" i="0">
                  <a:solidFill>
                    <a:schemeClr val="tx1"/>
                  </a:solidFill>
                  <a:effectLst/>
                  <a:latin typeface="Cambria Math" panose="02040503050406030204" pitchFamily="18" charset="0"/>
                  <a:ea typeface="+mn-ea"/>
                  <a:cs typeface="+mn-cs"/>
                </a:rPr>
                <a:t>〖𝐸[𝑎𝑣𝑘〗_𝑡]</a:t>
              </a:r>
              <a:r>
                <a:rPr lang="nb-NO" sz="1100">
                  <a:solidFill>
                    <a:schemeClr val="tx1"/>
                  </a:solidFill>
                  <a:effectLst/>
                  <a:latin typeface="+mn-lt"/>
                  <a:ea typeface="+mn-ea"/>
                  <a:cs typeface="+mn-cs"/>
                </a:rPr>
                <a:t>forventet avkastning er basert på gjennomsnittlig avkastning på finansformue siste fem år. Finansinntekter (FI) er definert som </a:t>
              </a:r>
              <a:r>
                <a:rPr lang="nb-NO" sz="1100" i="1">
                  <a:solidFill>
                    <a:schemeClr val="tx1"/>
                  </a:solidFill>
                  <a:effectLst/>
                  <a:latin typeface="+mn-lt"/>
                  <a:ea typeface="+mn-ea"/>
                  <a:cs typeface="+mn-cs"/>
                </a:rPr>
                <a:t>Renteinntekter, utbytte og eieruttak (L22)</a:t>
              </a:r>
              <a:r>
                <a:rPr lang="nb-NO" sz="1100">
                  <a:solidFill>
                    <a:schemeClr val="tx1"/>
                  </a:solidFill>
                  <a:effectLst/>
                  <a:latin typeface="+mn-lt"/>
                  <a:ea typeface="+mn-ea"/>
                  <a:cs typeface="+mn-cs"/>
                </a:rPr>
                <a:t>. Finansiell formue (FF) er definert som «Sum Omløpsmidler - premieavvik (OM) - konserninterne fordringer (kortsiktige og langsiktige) + utlån + aksjer og andeler (AM)». Alle postene er hentet fra balanseregnskapet.</a:t>
              </a:r>
            </a:p>
            <a:p>
              <a:endParaRPr lang="nb-NO" sz="1100">
                <a:solidFill>
                  <a:schemeClr val="tx1"/>
                </a:solidFill>
                <a:effectLst/>
                <a:latin typeface="+mn-lt"/>
                <a:ea typeface="+mn-ea"/>
                <a:cs typeface="+mn-cs"/>
              </a:endParaRPr>
            </a:p>
            <a:p>
              <a:pPr/>
              <a:r>
                <a:rPr lang="ar-AE" sz="1100" i="0">
                  <a:solidFill>
                    <a:schemeClr val="tx1"/>
                  </a:solidFill>
                  <a:effectLst/>
                  <a:latin typeface="Cambria Math" panose="02040503050406030204" pitchFamily="18" charset="0"/>
                  <a:ea typeface="+mn-ea"/>
                  <a:cs typeface="+mn-cs"/>
                </a:rPr>
                <a:t>〖𝐴𝑣𝑑𝑟𝑎𝑔〗_𝑡=〖 〖𝐴𝑣𝑑𝑟𝑎𝑔〗_(𝑡−1,𝑖)/〖𝐺𝑗𝑒𝑙𝑑〗_(𝑡−2,𝑖) ∗𝐺𝑗𝑒𝑙𝑑〗_(𝑡−1,𝑖)</a:t>
              </a:r>
              <a:endParaRPr lang="ar-AE" sz="1100">
                <a:solidFill>
                  <a:schemeClr val="tx1"/>
                </a:solidFill>
                <a:effectLst/>
                <a:latin typeface="+mn-lt"/>
                <a:ea typeface="+mn-ea"/>
                <a:cs typeface="+mn-cs"/>
              </a:endParaRPr>
            </a:p>
            <a:p>
              <a:endParaRPr lang="ar-AE" sz="1100">
                <a:solidFill>
                  <a:schemeClr val="tx1"/>
                </a:solidFill>
                <a:effectLst/>
                <a:latin typeface="+mn-lt"/>
                <a:ea typeface="+mn-ea"/>
                <a:cs typeface="+mn-cs"/>
              </a:endParaRPr>
            </a:p>
            <a:p>
              <a:r>
                <a:rPr lang="nb-NO" sz="1100">
                  <a:solidFill>
                    <a:schemeClr val="tx1"/>
                  </a:solidFill>
                  <a:effectLst/>
                  <a:latin typeface="+mn-lt"/>
                  <a:ea typeface="+mn-ea"/>
                  <a:cs typeface="+mn-cs"/>
                </a:rPr>
                <a:t>Avdrag er definert som </a:t>
              </a:r>
              <a:r>
                <a:rPr lang="nb-NO" sz="1100" i="1">
                  <a:solidFill>
                    <a:schemeClr val="tx1"/>
                  </a:solidFill>
                  <a:effectLst/>
                  <a:latin typeface="+mn-lt"/>
                  <a:ea typeface="+mn-ea"/>
                  <a:cs typeface="+mn-cs"/>
                </a:rPr>
                <a:t>Avdragsutgifter (L28).</a:t>
              </a:r>
              <a:r>
                <a:rPr lang="nb-NO" sz="1100">
                  <a:solidFill>
                    <a:schemeClr val="tx1"/>
                  </a:solidFill>
                  <a:effectLst/>
                  <a:latin typeface="+mn-lt"/>
                  <a:ea typeface="+mn-ea"/>
                  <a:cs typeface="+mn-cs"/>
                </a:rPr>
                <a:t> Implisitt antagelse om at Utlån (L29) og Tap finansielle instrumenter (L23) er lik null på sikt. Størrelsen på avdrag baseres på kommunenes avdrag relativt til gjeld siste år, multiplisert med gjelda ved inngangen til året.</a:t>
              </a:r>
            </a:p>
            <a:p>
              <a:endParaRPr lang="nb-NO"/>
            </a:p>
            <a:p>
              <a:pPr/>
              <a:r>
                <a:rPr lang="ar-AE" sz="1100" i="0">
                  <a:solidFill>
                    <a:schemeClr val="tx1"/>
                  </a:solidFill>
                  <a:effectLst/>
                  <a:latin typeface="Cambria Math" panose="02040503050406030204" pitchFamily="18" charset="0"/>
                  <a:ea typeface="+mn-ea"/>
                  <a:cs typeface="+mn-cs"/>
                </a:rPr>
                <a:t>〖𝑅𝑈〗_(𝑡,𝑖)=〖𝐸[𝑟〗_𝑡]∗〖𝐺𝑗𝑒𝑙𝑑〗_(𝑡−1,𝑖)</a:t>
              </a:r>
              <a:endParaRPr lang="ar-AE" sz="1100">
                <a:solidFill>
                  <a:schemeClr val="tx1"/>
                </a:solidFill>
                <a:effectLst/>
                <a:latin typeface="+mn-lt"/>
                <a:ea typeface="+mn-ea"/>
                <a:cs typeface="+mn-cs"/>
              </a:endParaRPr>
            </a:p>
            <a:p>
              <a:endParaRPr lang="ar-AE" sz="1100">
                <a:solidFill>
                  <a:schemeClr val="tx1"/>
                </a:solidFill>
                <a:effectLst/>
                <a:latin typeface="+mn-lt"/>
                <a:ea typeface="+mn-ea"/>
                <a:cs typeface="+mn-cs"/>
              </a:endParaRPr>
            </a:p>
            <a:p>
              <a:r>
                <a:rPr lang="nb-NO" sz="1100">
                  <a:solidFill>
                    <a:schemeClr val="tx1"/>
                  </a:solidFill>
                  <a:effectLst/>
                  <a:latin typeface="+mn-lt"/>
                  <a:ea typeface="+mn-ea"/>
                  <a:cs typeface="+mn-cs"/>
                </a:rPr>
                <a:t>Renteutgifter (</a:t>
              </a:r>
              <a:r>
                <a:rPr lang="ar-AE" sz="1100" i="0">
                  <a:solidFill>
                    <a:schemeClr val="tx1"/>
                  </a:solidFill>
                  <a:effectLst/>
                  <a:latin typeface="Cambria Math" panose="02040503050406030204" pitchFamily="18" charset="0"/>
                  <a:ea typeface="+mn-ea"/>
                  <a:cs typeface="+mn-cs"/>
                </a:rPr>
                <a:t>〖𝑅𝑈〗_(𝑡,𝑖))</a:t>
              </a:r>
              <a:r>
                <a:rPr lang="nb-NO" sz="1100">
                  <a:solidFill>
                    <a:schemeClr val="tx1"/>
                  </a:solidFill>
                  <a:effectLst/>
                  <a:latin typeface="+mn-lt"/>
                  <a:ea typeface="+mn-ea"/>
                  <a:cs typeface="+mn-cs"/>
                </a:rPr>
                <a:t>er basert på gjeld for fjoråret multiplisert med forventet rentenivå på gjelda, </a:t>
              </a:r>
              <a:r>
                <a:rPr lang="ar-AE" sz="1100" i="0">
                  <a:solidFill>
                    <a:schemeClr val="tx1"/>
                  </a:solidFill>
                  <a:effectLst/>
                  <a:latin typeface="Cambria Math" panose="02040503050406030204" pitchFamily="18" charset="0"/>
                  <a:ea typeface="+mn-ea"/>
                  <a:cs typeface="+mn-cs"/>
                </a:rPr>
                <a:t>〖𝐸[𝑟〗_𝑡]</a:t>
              </a:r>
              <a:r>
                <a:rPr lang="ar-AE" sz="1100">
                  <a:solidFill>
                    <a:schemeClr val="tx1"/>
                  </a:solidFill>
                  <a:effectLst/>
                  <a:latin typeface="+mn-lt"/>
                  <a:ea typeface="+mn-ea"/>
                  <a:cs typeface="+mn-cs"/>
                </a:rPr>
                <a:t>, </a:t>
              </a:r>
              <a:r>
                <a:rPr lang="nb-NO" sz="1100">
                  <a:solidFill>
                    <a:schemeClr val="tx1"/>
                  </a:solidFill>
                  <a:effectLst/>
                  <a:latin typeface="+mn-lt"/>
                  <a:ea typeface="+mn-ea"/>
                  <a:cs typeface="+mn-cs"/>
                </a:rPr>
                <a:t>som er beregnet som sentralbankrente + gjennomsnittlig påslag på denne for kommunal sektor siste år. Forventet langsiktig rentenivå kan også justeres i modellen av kommunen selv.</a:t>
              </a:r>
            </a:p>
            <a:p>
              <a:endParaRPr lang="nb-NO" sz="1100">
                <a:solidFill>
                  <a:schemeClr val="tx1"/>
                </a:solidFill>
                <a:effectLst/>
                <a:latin typeface="+mn-lt"/>
                <a:ea typeface="+mn-ea"/>
                <a:cs typeface="+mn-cs"/>
              </a:endParaRPr>
            </a:p>
            <a:p>
              <a:pPr/>
              <a:r>
                <a:rPr lang="nb-NO" sz="1100" i="0">
                  <a:solidFill>
                    <a:schemeClr val="tx1"/>
                  </a:solidFill>
                  <a:effectLst/>
                  <a:latin typeface="Cambria Math" panose="02040503050406030204" pitchFamily="18" charset="0"/>
                  <a:ea typeface="+mn-ea"/>
                  <a:cs typeface="+mn-cs"/>
                </a:rPr>
                <a:t>𝐸[</a:t>
              </a:r>
              <a:r>
                <a:rPr lang="ar-AE" sz="1100" i="0">
                  <a:solidFill>
                    <a:schemeClr val="tx1"/>
                  </a:solidFill>
                  <a:effectLst/>
                  <a:latin typeface="Cambria Math" panose="02040503050406030204" pitchFamily="18" charset="0"/>
                  <a:ea typeface="+mn-ea"/>
                  <a:cs typeface="+mn-cs"/>
                </a:rPr>
                <a:t>〖𝐼𝑛𝑣.𝑖𝑛𝑛𝑡〗_(𝑡,𝑖)]=∑1_(𝑥=2006)</a:t>
              </a:r>
              <a:r>
                <a:rPr lang="nb-NO" sz="1100" b="0" i="0">
                  <a:solidFill>
                    <a:schemeClr val="tx1"/>
                  </a:solidFill>
                  <a:effectLst/>
                  <a:latin typeface="Cambria Math" panose="02040503050406030204" pitchFamily="18" charset="0"/>
                  <a:ea typeface="+mn-ea"/>
                  <a:cs typeface="+mn-cs"/>
                </a:rPr>
                <a:t>^</a:t>
              </a:r>
              <a:r>
                <a:rPr lang="ar-AE" sz="1100" i="0">
                  <a:solidFill>
                    <a:schemeClr val="tx1"/>
                  </a:solidFill>
                  <a:effectLst/>
                  <a:latin typeface="Cambria Math" panose="02040503050406030204" pitchFamily="18" charset="0"/>
                  <a:ea typeface="+mn-ea"/>
                  <a:cs typeface="+mn-cs"/>
                </a:rPr>
                <a:t>20</a:t>
              </a:r>
              <a:r>
                <a:rPr lang="nb-NO" sz="1100" b="0" i="0">
                  <a:solidFill>
                    <a:schemeClr val="tx1"/>
                  </a:solidFill>
                  <a:effectLst/>
                  <a:latin typeface="Cambria Math" panose="02040503050406030204" pitchFamily="18" charset="0"/>
                  <a:ea typeface="+mn-ea"/>
                  <a:cs typeface="+mn-cs"/>
                </a:rPr>
                <a:t>20</a:t>
              </a:r>
              <a:r>
                <a:rPr lang="ar-AE" sz="1100" b="0" i="0">
                  <a:solidFill>
                    <a:schemeClr val="tx1"/>
                  </a:solidFill>
                  <a:effectLst/>
                  <a:latin typeface="Cambria Math" panose="02040503050406030204" pitchFamily="18" charset="0"/>
                  <a:ea typeface="+mn-ea"/>
                  <a:cs typeface="+mn-cs"/>
                </a:rPr>
                <a:t>▒〖</a:t>
              </a:r>
              <a:r>
                <a:rPr lang="ar-AE" sz="1100" i="0">
                  <a:solidFill>
                    <a:schemeClr val="tx1"/>
                  </a:solidFill>
                  <a:effectLst/>
                  <a:latin typeface="Cambria Math" panose="02040503050406030204" pitchFamily="18" charset="0"/>
                  <a:ea typeface="+mn-ea"/>
                  <a:cs typeface="+mn-cs"/>
                </a:rPr>
                <a:t>𝑖𝑛𝑣𝑖𝑛𝑛𝑡〗_(𝑥,𝑖)/𝐼_(𝑥,𝑖) ∗𝐼_(𝑡,𝑖)</a:t>
              </a:r>
              <a:endParaRPr lang="ar-AE" sz="1100">
                <a:solidFill>
                  <a:schemeClr val="tx1"/>
                </a:solidFill>
                <a:effectLst/>
                <a:latin typeface="+mn-lt"/>
                <a:ea typeface="+mn-ea"/>
                <a:cs typeface="+mn-cs"/>
              </a:endParaRPr>
            </a:p>
            <a:p>
              <a:endParaRPr lang="ar-AE" sz="1100">
                <a:solidFill>
                  <a:schemeClr val="tx1"/>
                </a:solidFill>
                <a:effectLst/>
                <a:latin typeface="+mn-lt"/>
                <a:ea typeface="+mn-ea"/>
                <a:cs typeface="+mn-cs"/>
              </a:endParaRPr>
            </a:p>
            <a:p>
              <a:r>
                <a:rPr lang="nb-NO" sz="1100">
                  <a:solidFill>
                    <a:schemeClr val="tx1"/>
                  </a:solidFill>
                  <a:effectLst/>
                  <a:latin typeface="+mn-lt"/>
                  <a:ea typeface="+mn-ea"/>
                  <a:cs typeface="+mn-cs"/>
                </a:rPr>
                <a:t>Forventede investeringsinntekter er basert på gjennomsnittlige investeringsinntekter som andel av investeringer siste tolv år multiplisert med minimumsnivået på realinvesteringer som følger av stabil tjenesteproduksjon. Investeringsinntekt: </a:t>
              </a:r>
              <a:r>
                <a:rPr lang="nb-NO" sz="1100" i="1">
                  <a:solidFill>
                    <a:schemeClr val="tx1"/>
                  </a:solidFill>
                  <a:effectLst/>
                  <a:latin typeface="+mn-lt"/>
                  <a:ea typeface="+mn-ea"/>
                  <a:cs typeface="+mn-cs"/>
                </a:rPr>
                <a:t>Sum inntekter (investeringsregnskap L9)-Salg av driftsmidler og fast eiendom (L2)-Bruk av lån. </a:t>
              </a:r>
              <a:r>
                <a:rPr lang="nb-NO" sz="1100">
                  <a:solidFill>
                    <a:schemeClr val="tx1"/>
                  </a:solidFill>
                  <a:effectLst/>
                  <a:latin typeface="+mn-lt"/>
                  <a:ea typeface="+mn-ea"/>
                  <a:cs typeface="+mn-cs"/>
                </a:rPr>
                <a:t>Salgsinntekter holdes utenfor andre investeringsinntekter, og er ikke en del av beregningen. Forventede investeringsinntekter legger til grunn at kommunen har samme sammensetningen av investeringene som den har hatt siste tolv år. </a:t>
              </a:r>
            </a:p>
            <a:p>
              <a:endParaRPr lang="nb-NO"/>
            </a:p>
            <a:p>
              <a:pPr/>
              <a:r>
                <a:rPr lang="nb-NO" sz="1100" i="0">
                  <a:solidFill>
                    <a:schemeClr val="tx1"/>
                  </a:solidFill>
                  <a:effectLst/>
                  <a:latin typeface="Cambria Math" panose="02040503050406030204" pitchFamily="18" charset="0"/>
                  <a:ea typeface="+mn-ea"/>
                  <a:cs typeface="+mn-cs"/>
                </a:rPr>
                <a:t>𝐵𝑟</a:t>
              </a:r>
              <a:r>
                <a:rPr lang="ar-AE" sz="1100" i="0">
                  <a:solidFill>
                    <a:schemeClr val="tx1"/>
                  </a:solidFill>
                  <a:effectLst/>
                  <a:latin typeface="Cambria Math" panose="02040503050406030204" pitchFamily="18" charset="0"/>
                  <a:ea typeface="+mn-ea"/>
                  <a:cs typeface="+mn-cs"/>
                </a:rPr>
                <a:t>〖𝐿</a:t>
              </a:r>
              <a:r>
                <a:rPr lang="nb-NO" sz="1100" i="0">
                  <a:solidFill>
                    <a:schemeClr val="tx1"/>
                  </a:solidFill>
                  <a:effectLst/>
                  <a:latin typeface="Cambria Math" panose="02040503050406030204" pitchFamily="18" charset="0"/>
                  <a:ea typeface="+mn-ea"/>
                  <a:cs typeface="+mn-cs"/>
                </a:rPr>
                <a:t>å𝑛𝑒𝑜𝑝𝑝𝑡𝑎𝑘</a:t>
              </a:r>
              <a:r>
                <a:rPr lang="ar-AE" sz="1100" i="0">
                  <a:solidFill>
                    <a:schemeClr val="tx1"/>
                  </a:solidFill>
                  <a:effectLst/>
                  <a:latin typeface="Cambria Math" panose="02040503050406030204" pitchFamily="18" charset="0"/>
                  <a:ea typeface="+mn-ea"/>
                  <a:cs typeface="+mn-cs"/>
                </a:rPr>
                <a:t>〗_(𝑡,𝑖)=𝑚𝑖𝑛{█(〖〖𝐸[𝐷𝐼〗_𝑡]+〖𝐸[𝐹𝐼〗_𝑡] 〗_ /(〖𝐷𝐼〗_(𝑡−1)+〖𝐹𝐼〗_(𝑡−1) )  〖𝐺𝑗𝑒𝑙𝑑〗_(𝑡−1,𝑖)−〖𝐺𝑗𝑒𝑙𝑑〗_(𝑡−1,𝑖)+〖𝐴𝑣𝑑𝑟𝑎𝑔〗_(𝑡,𝑖)@𝐼_(𝑡,𝑖)−𝐸[〖𝐼𝑛𝑣.𝑖𝑛𝑛𝑡〗_(𝑡,𝑖)])┤</a:t>
              </a:r>
              <a:endParaRPr lang="ar-AE" sz="1100">
                <a:solidFill>
                  <a:schemeClr val="tx1"/>
                </a:solidFill>
                <a:effectLst/>
                <a:latin typeface="+mn-lt"/>
                <a:ea typeface="+mn-ea"/>
                <a:cs typeface="+mn-cs"/>
              </a:endParaRPr>
            </a:p>
            <a:p>
              <a:endParaRPr lang="ar-AE" sz="1100">
                <a:solidFill>
                  <a:schemeClr val="tx1"/>
                </a:solidFill>
                <a:effectLst/>
                <a:latin typeface="+mn-lt"/>
                <a:ea typeface="+mn-ea"/>
                <a:cs typeface="+mn-cs"/>
              </a:endParaRPr>
            </a:p>
            <a:p>
              <a:r>
                <a:rPr lang="nb-NO" sz="1100">
                  <a:solidFill>
                    <a:schemeClr val="tx1"/>
                  </a:solidFill>
                  <a:effectLst/>
                  <a:latin typeface="+mn-lt"/>
                  <a:ea typeface="+mn-ea"/>
                  <a:cs typeface="+mn-cs"/>
                </a:rPr>
                <a:t>Brutto låneopptak er den laveste av 1) differansen mellom gjelda fra år t og t-1, korrigert for avdrag, gitt at gjelda som andel av inntektene forutsettes konstant og 2) Investeringer fratrukket forventede investeringsutgifter. Det sistnevnte kriteriet sikrer at anbefalt minimumsnivå på netto driftsresultat ikke blir negativt og at modellen ikke tillater låneopptak for å finansiere avsetninger til fond eller drift. Dersom det er det sistnevnte kriteriet som binder vil gjelda som andel av kommunens inntekter falle over tid dersom netto driftsresultater er lik det anbefalte minimumsnivået.</a:t>
              </a:r>
            </a:p>
            <a:p>
              <a:endParaRPr lang="nb-NO" sz="1100">
                <a:solidFill>
                  <a:schemeClr val="tx1"/>
                </a:solidFill>
                <a:effectLst/>
                <a:latin typeface="+mn-lt"/>
                <a:ea typeface="+mn-ea"/>
                <a:cs typeface="+mn-cs"/>
              </a:endParaRPr>
            </a:p>
            <a:p>
              <a:pPr/>
              <a:r>
                <a:rPr lang="ar-AE" sz="1100" i="0">
                  <a:solidFill>
                    <a:schemeClr val="tx1"/>
                  </a:solidFill>
                  <a:effectLst/>
                  <a:latin typeface="Cambria Math" panose="02040503050406030204" pitchFamily="18" charset="0"/>
                  <a:ea typeface="+mn-ea"/>
                  <a:cs typeface="+mn-cs"/>
                </a:rPr>
                <a:t>〖𝐷𝐹〗_(𝑡,𝑖)=〖𝐷𝐹〗_(𝑡−1,𝑖)+〖𝐴𝑣𝑠_𝑑𝑖𝑠𝑝𝑓〗_(𝑡,𝑖)</a:t>
              </a:r>
              <a:endParaRPr lang="ar-AE" sz="1100">
                <a:solidFill>
                  <a:schemeClr val="tx1"/>
                </a:solidFill>
                <a:effectLst/>
                <a:latin typeface="+mn-lt"/>
                <a:ea typeface="+mn-ea"/>
                <a:cs typeface="+mn-cs"/>
              </a:endParaRPr>
            </a:p>
            <a:p>
              <a:endParaRPr lang="ar-AE" sz="1100" i="1">
                <a:solidFill>
                  <a:schemeClr val="tx1"/>
                </a:solidFill>
                <a:effectLst/>
                <a:latin typeface="+mn-lt"/>
                <a:ea typeface="+mn-ea"/>
                <a:cs typeface="+mn-cs"/>
              </a:endParaRPr>
            </a:p>
            <a:p>
              <a:r>
                <a:rPr lang="nb-NO" sz="1100" i="1">
                  <a:solidFill>
                    <a:schemeClr val="tx1"/>
                  </a:solidFill>
                  <a:effectLst/>
                  <a:latin typeface="+mn-lt"/>
                  <a:ea typeface="+mn-ea"/>
                  <a:cs typeface="+mn-cs"/>
                </a:rPr>
                <a:t>Disposisjonsfond (2.56 og 5.56 i balanse) </a:t>
              </a:r>
              <a:r>
                <a:rPr lang="nb-NO" sz="1100">
                  <a:solidFill>
                    <a:schemeClr val="tx1"/>
                  </a:solidFill>
                  <a:effectLst/>
                  <a:latin typeface="+mn-lt"/>
                  <a:ea typeface="+mn-ea"/>
                  <a:cs typeface="+mn-cs"/>
                </a:rPr>
                <a:t>er lik disposisjonsfondet året før pluss</a:t>
              </a:r>
              <a:r>
                <a:rPr lang="nb-NO" sz="1100" i="1">
                  <a:solidFill>
                    <a:schemeClr val="tx1"/>
                  </a:solidFill>
                  <a:effectLst/>
                  <a:latin typeface="+mn-lt"/>
                  <a:ea typeface="+mn-ea"/>
                  <a:cs typeface="+mn-cs"/>
                </a:rPr>
                <a:t> Avsetninger til disposisjonsfond (L42 i driftsregnskap).</a:t>
              </a:r>
            </a:p>
            <a:p>
              <a:endParaRPr lang="nb-NO" sz="1100">
                <a:solidFill>
                  <a:schemeClr val="tx1"/>
                </a:solidFill>
                <a:effectLst/>
                <a:latin typeface="+mn-lt"/>
                <a:ea typeface="+mn-ea"/>
                <a:cs typeface="+mn-cs"/>
              </a:endParaRPr>
            </a:p>
            <a:p>
              <a:r>
                <a:rPr lang="nb-NO" sz="1100" b="1">
                  <a:solidFill>
                    <a:schemeClr val="tx1"/>
                  </a:solidFill>
                  <a:effectLst/>
                  <a:latin typeface="+mn-lt"/>
                  <a:ea typeface="+mn-ea"/>
                  <a:cs typeface="+mn-cs"/>
                </a:rPr>
                <a:t>Risikohåndteringsevne</a:t>
              </a:r>
            </a:p>
            <a:p>
              <a:r>
                <a:rPr lang="nb-NO" sz="1100">
                  <a:solidFill>
                    <a:schemeClr val="tx1"/>
                  </a:solidFill>
                  <a:effectLst/>
                  <a:latin typeface="+mn-lt"/>
                  <a:ea typeface="+mn-ea"/>
                  <a:cs typeface="+mn-cs"/>
                </a:rPr>
                <a:t>Kravet til risikohåndteringsevne for å kunne opprettholde en stabil tjenesteproduksjon operasjonaliseres gjennom et minimumskrav til disposisjonsfond relativt til kommunens inntekter:</a:t>
              </a:r>
            </a:p>
            <a:p>
              <a:endParaRPr lang="nb-NO" sz="1100">
                <a:solidFill>
                  <a:schemeClr val="tx1"/>
                </a:solidFill>
                <a:effectLst/>
                <a:latin typeface="+mn-lt"/>
                <a:ea typeface="+mn-ea"/>
                <a:cs typeface="+mn-cs"/>
              </a:endParaRPr>
            </a:p>
            <a:p>
              <a:pPr/>
              <a:r>
                <a:rPr lang="ar-AE" sz="1100" i="0">
                  <a:solidFill>
                    <a:schemeClr val="tx1"/>
                  </a:solidFill>
                  <a:effectLst/>
                  <a:latin typeface="Cambria Math" panose="02040503050406030204" pitchFamily="18" charset="0"/>
                  <a:ea typeface="+mn-ea"/>
                  <a:cs typeface="+mn-cs"/>
                </a:rPr>
                <a:t>〖𝐷𝐹〗_𝑡/〖𝐷𝐼〗_𝑡 =𝐹(〖𝑟𝑒𝐺〗_𝑡,〖𝐹𝐹〗_𝑡,〖𝑆𝐼〗_𝑡 [〖𝑆𝑘𝑎𝑡𝑡_𝑝𝑒𝑟_𝑖𝑛𝑛𝑏_𝑟𝑒𝑙_𝑔𝑗𝑒𝑛𝑛𝑜𝑚𝑠𝑛𝑖𝑡𝑡〗_𝑡],𝑎𝑛𝑛𝑒𝑡)</a:t>
              </a:r>
              <a:endParaRPr lang="ar-AE" sz="1100">
                <a:solidFill>
                  <a:schemeClr val="tx1"/>
                </a:solidFill>
                <a:effectLst/>
                <a:latin typeface="+mn-lt"/>
                <a:ea typeface="+mn-ea"/>
                <a:cs typeface="+mn-cs"/>
              </a:endParaRPr>
            </a:p>
            <a:p>
              <a:endParaRPr lang="ar-AE" sz="1100">
                <a:solidFill>
                  <a:schemeClr val="tx1"/>
                </a:solidFill>
                <a:effectLst/>
                <a:latin typeface="+mn-lt"/>
                <a:ea typeface="+mn-ea"/>
                <a:cs typeface="+mn-cs"/>
              </a:endParaRPr>
            </a:p>
            <a:p>
              <a:r>
                <a:rPr lang="nb-NO" sz="1100">
                  <a:solidFill>
                    <a:schemeClr val="tx1"/>
                  </a:solidFill>
                  <a:effectLst/>
                  <a:latin typeface="+mn-lt"/>
                  <a:ea typeface="+mn-ea"/>
                  <a:cs typeface="+mn-cs"/>
                </a:rPr>
                <a:t>Funksjonen angir at minimumskravet til disposisjonsfond er en funksjon av kommunens risikoeksponering knyttet til størrelsen på renteeksponert gjeld (G), finansielle formue (FF) og skatteinntekter (SI). I tillegg er det lagt til en «annet» som skal fange opp at det også er andre mindre risikokilder i tillegg til at deler av disposisjonsfondet er bundet opp til andre formål (for eksempel akkumulert premieavvik). </a:t>
              </a:r>
            </a:p>
            <a:p>
              <a:r>
                <a:rPr lang="nb-NO" sz="1100">
                  <a:solidFill>
                    <a:schemeClr val="tx1"/>
                  </a:solidFill>
                  <a:effectLst/>
                  <a:latin typeface="+mn-lt"/>
                  <a:ea typeface="+mn-ea"/>
                  <a:cs typeface="+mn-cs"/>
                </a:rPr>
                <a:t>I modellen er minimumskravet til disposisjonsfond definert på følgende måte:</a:t>
              </a:r>
            </a:p>
            <a:p>
              <a:endParaRPr lang="nb-NO" sz="1100">
                <a:solidFill>
                  <a:schemeClr val="tx1"/>
                </a:solidFill>
                <a:effectLst/>
                <a:latin typeface="+mn-lt"/>
                <a:ea typeface="+mn-ea"/>
                <a:cs typeface="+mn-cs"/>
              </a:endParaRPr>
            </a:p>
            <a:p>
              <a:pPr/>
              <a:r>
                <a:rPr lang="ar-AE" sz="1100" i="0">
                  <a:solidFill>
                    <a:schemeClr val="tx1"/>
                  </a:solidFill>
                  <a:effectLst/>
                  <a:latin typeface="Cambria Math" panose="02040503050406030204" pitchFamily="18" charset="0"/>
                  <a:ea typeface="+mn-ea"/>
                  <a:cs typeface="+mn-cs"/>
                </a:rPr>
                <a:t>〖𝐷𝐹〗_𝑡/〖𝐷𝐼〗_𝑡 =2%+  1/〖𝐷𝐼〗_𝑡 ∗𝑚𝑎𝑥{█(〖(𝑟𝑒𝐺〗_(𝑡−1)∗2%−〖𝐹𝐹〗_(𝑡−1)∗1%)∗4</a:t>
              </a:r>
              <a:r>
                <a:rPr lang="nb-NO" sz="1100" i="0">
                  <a:solidFill>
                    <a:schemeClr val="tx1"/>
                  </a:solidFill>
                  <a:effectLst/>
                  <a:latin typeface="Cambria Math" panose="02040503050406030204" pitchFamily="18" charset="0"/>
                  <a:ea typeface="+mn-ea"/>
                  <a:cs typeface="+mn-cs"/>
                </a:rPr>
                <a:t>å𝑟 @</a:t>
              </a:r>
              <a:r>
                <a:rPr lang="ar-AE" sz="1100" i="0">
                  <a:solidFill>
                    <a:schemeClr val="tx1"/>
                  </a:solidFill>
                  <a:effectLst/>
                  <a:latin typeface="Cambria Math" panose="02040503050406030204" pitchFamily="18" charset="0"/>
                  <a:ea typeface="+mn-ea"/>
                  <a:cs typeface="+mn-cs"/>
                </a:rPr>
                <a:t>∆𝐹𝐼(5𝑝𝑒𝑟𝑐𝑒𝑛𝑡𝑖𝑙)+∆𝑆𝐼(5𝑝𝑒𝑟𝑐𝑒𝑛𝑡𝑖𝑙))┤</a:t>
              </a:r>
              <a:endParaRPr lang="ar-AE" sz="1100">
                <a:solidFill>
                  <a:schemeClr val="tx1"/>
                </a:solidFill>
                <a:effectLst/>
                <a:latin typeface="+mn-lt"/>
                <a:ea typeface="+mn-ea"/>
                <a:cs typeface="+mn-cs"/>
              </a:endParaRPr>
            </a:p>
            <a:p>
              <a:endParaRPr lang="ar-AE"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a:solidFill>
                    <a:schemeClr val="tx1"/>
                  </a:solidFill>
                  <a:effectLst/>
                  <a:latin typeface="+mn-lt"/>
                  <a:ea typeface="+mn-ea"/>
                  <a:cs typeface="+mn-cs"/>
                </a:rPr>
                <a:t>Disposisjonsfondet skal være så stort at det skal kunne dekke et skjønnsmessig minimumsnivå satt til 2 prosent av kommunens inntekter pluss den største risikoen av: </a:t>
              </a:r>
              <a:endParaRPr lang="nb-NO">
                <a:effectLst/>
              </a:endParaRPr>
            </a:p>
            <a:p>
              <a:endParaRPr lang="nb-NO" sz="1100">
                <a:solidFill>
                  <a:schemeClr val="tx1"/>
                </a:solidFill>
                <a:effectLst/>
                <a:latin typeface="+mn-lt"/>
                <a:ea typeface="+mn-ea"/>
                <a:cs typeface="+mn-cs"/>
              </a:endParaRPr>
            </a:p>
            <a:p>
              <a:pPr lvl="0"/>
              <a:r>
                <a:rPr lang="nb-NO" sz="1100">
                  <a:solidFill>
                    <a:schemeClr val="tx1"/>
                  </a:solidFill>
                  <a:effectLst/>
                  <a:latin typeface="+mn-lt"/>
                  <a:ea typeface="+mn-ea"/>
                  <a:cs typeface="+mn-cs"/>
                </a:rPr>
                <a:t>1) en renteøkning på gjelden på 2 prosent over en periode på fire år, korrigert for at finansinntektene antas å øke med 1 prosent dersom rentene øker, og </a:t>
              </a:r>
            </a:p>
            <a:p>
              <a:pPr marL="0" marR="0" lvl="0" indent="0" defTabSz="914400" eaLnBrk="1" fontAlgn="auto" latinLnBrk="0" hangingPunct="1">
                <a:lnSpc>
                  <a:spcPct val="100000"/>
                </a:lnSpc>
                <a:spcBef>
                  <a:spcPts val="0"/>
                </a:spcBef>
                <a:spcAft>
                  <a:spcPts val="0"/>
                </a:spcAft>
                <a:buClrTx/>
                <a:buSzTx/>
                <a:buFontTx/>
                <a:buNone/>
                <a:tabLst/>
                <a:defRPr/>
              </a:pPr>
              <a:r>
                <a:rPr lang="nb-NO" sz="1100">
                  <a:solidFill>
                    <a:schemeClr val="tx1"/>
                  </a:solidFill>
                  <a:effectLst/>
                  <a:latin typeface="+mn-lt"/>
                  <a:ea typeface="+mn-ea"/>
                  <a:cs typeface="+mn-cs"/>
                </a:rPr>
                <a:t>2) et negativt sjokk tilsvarende 5-percentilen av endringer i finansinntekter (6 prosent fall i finansinntekter) og skatteinntekter (4%/0,5% avhengig av +/- 90% av landssnitt) observert over perioden 2006-2017. </a:t>
              </a:r>
              <a:endParaRPr lang="nb-NO">
                <a:effectLst/>
              </a:endParaRPr>
            </a:p>
            <a:p>
              <a:pPr lvl="0"/>
              <a:endParaRPr lang="nb-NO"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a:solidFill>
                    <a:schemeClr val="tx1"/>
                  </a:solidFill>
                  <a:effectLst/>
                  <a:latin typeface="+mn-lt"/>
                  <a:ea typeface="+mn-ea"/>
                  <a:cs typeface="+mn-cs"/>
                </a:rPr>
                <a:t>Det kravet som er høyest av disse to er bindende for minimumskravet til disposisjonsfond. Når det gjelder risikoen knyttet til renteøkning er denne antatt å være av en midlertidig karakter ettersom premieinnbetalingene knyttet til pensjon også vil reduseres når rentenivået øker. Vi legger imidlertid skjønnsmessig til grunn at det vil ta 4 år før premieinnbetalingene reduseres som følge av en renteøkning ettersom pensjonssparingen i stor grad er bundet opp i langsiktige rentepapirer. </a:t>
              </a:r>
              <a:endParaRPr lang="nb-NO">
                <a:effectLst/>
              </a:endParaRPr>
            </a:p>
            <a:p>
              <a:endParaRPr lang="nb-NO" sz="1100">
                <a:solidFill>
                  <a:schemeClr val="tx1"/>
                </a:solidFill>
                <a:effectLst/>
                <a:latin typeface="+mn-lt"/>
                <a:ea typeface="+mn-ea"/>
                <a:cs typeface="+mn-cs"/>
              </a:endParaRPr>
            </a:p>
            <a:p>
              <a:r>
                <a:rPr lang="nb-NO" sz="1100">
                  <a:solidFill>
                    <a:schemeClr val="tx1"/>
                  </a:solidFill>
                  <a:effectLst/>
                  <a:latin typeface="+mn-lt"/>
                  <a:ea typeface="+mn-ea"/>
                  <a:cs typeface="+mn-cs"/>
                </a:rPr>
                <a:t>Det er tre forhold som tilsier at det bør legges til et skjønnsmessig minimumsnivå i tillegg til den beregnede risikoen tilknyttet renteutgifter, skatte- og finansinntekter: i) det finnes risikokilder som ikke er omfattet av beregningene, ii) måten vi har målt historiske svingninger på fanger ikke nødvendigvis opp all relevant framtidig risiko, og iii) det kan være samvariasjon mellom risikofaktorer som ikke har blitt tatt hensyn til i risikoberegningene. Når det gjelder det siste punktet, vil det være for eksempel være rimelig å anta at høyere rente også vil medføre en viss svikt i skatteinntekter. Dette siden høyere rente i løpet av et ligningsår vil gi høyere skattefradrag og dermed redusert skatteinntekt, både i makro (kommunesektoren) og for den enkelte kommune. </a:t>
              </a:r>
            </a:p>
            <a:p>
              <a:r>
                <a:rPr lang="nb-NO" sz="1100">
                  <a:solidFill>
                    <a:schemeClr val="tx1"/>
                  </a:solidFill>
                  <a:effectLst/>
                  <a:latin typeface="+mn-lt"/>
                  <a:ea typeface="+mn-ea"/>
                  <a:cs typeface="+mn-cs"/>
                </a:rPr>
                <a:t>For å ta hensyn til at ikke all relevant risiko har blitt håndtert – eller har blitt mindre enn perfekt håndtert – i beregningene, har vi valgt å inkludere et absolutt minimumsnivå på disposisjonsfond på 2 prosent av driftsinntektene. I regnearkversjonen av modellen vil dermed hver enkelt kommune få et krav til disposisjonsfond på 2 prosent pluss det individuelt fastsatte risikotillegget. </a:t>
              </a:r>
            </a:p>
            <a:p>
              <a:endParaRPr lang="nb-NO" sz="1100">
                <a:solidFill>
                  <a:schemeClr val="tx1"/>
                </a:solidFill>
                <a:effectLst/>
                <a:latin typeface="+mn-lt"/>
                <a:ea typeface="+mn-ea"/>
                <a:cs typeface="+mn-cs"/>
              </a:endParaRPr>
            </a:p>
            <a:p>
              <a:endParaRPr lang="nb-NO" sz="1100">
                <a:solidFill>
                  <a:schemeClr val="tx1"/>
                </a:solidFill>
                <a:effectLst/>
                <a:latin typeface="+mn-lt"/>
                <a:ea typeface="+mn-ea"/>
                <a:cs typeface="+mn-cs"/>
              </a:endParaRPr>
            </a:p>
            <a:p>
              <a:pPr/>
              <a:r>
                <a:rPr lang="ar-AE" sz="1100" i="0">
                  <a:solidFill>
                    <a:schemeClr val="tx1"/>
                  </a:solidFill>
                  <a:effectLst/>
                  <a:latin typeface="Cambria Math" panose="02040503050406030204" pitchFamily="18" charset="0"/>
                  <a:ea typeface="+mn-ea"/>
                  <a:cs typeface="+mn-cs"/>
                </a:rPr>
                <a:t>〖𝐴𝑣𝑠_𝑑𝑖𝑠𝑝𝑓〗_(𝑡,𝑖)=𝑚𝑎𝑥{█(〖𝐷𝐹〗_(𝑡,𝑖)−〖𝐷𝐹〗_(𝑡−1,𝑖),  ℎ𝑣𝑖𝑠 〖𝐷𝐹〗_(𝑡,𝑖)−〖𝐷𝐹〗_(𝑡−1,𝑖)&gt;0@0,                                  ℎ𝑣𝑖𝑠 〖𝐷𝐹〗_(𝑡,𝑖)−〖𝐷𝐹〗_(𝑡−1,𝑖)&lt;0)┤</a:t>
              </a:r>
              <a:endParaRPr lang="ar-AE" sz="1100">
                <a:solidFill>
                  <a:schemeClr val="tx1"/>
                </a:solidFill>
                <a:effectLst/>
                <a:latin typeface="+mn-lt"/>
                <a:ea typeface="+mn-ea"/>
                <a:cs typeface="+mn-cs"/>
              </a:endParaRPr>
            </a:p>
            <a:p>
              <a:endParaRPr lang="ar-AE" sz="1100">
                <a:solidFill>
                  <a:schemeClr val="tx1"/>
                </a:solidFill>
                <a:effectLst/>
                <a:latin typeface="+mn-lt"/>
                <a:ea typeface="+mn-ea"/>
                <a:cs typeface="+mn-cs"/>
              </a:endParaRPr>
            </a:p>
            <a:p>
              <a:r>
                <a:rPr lang="nb-NO" sz="1100">
                  <a:solidFill>
                    <a:schemeClr val="tx1"/>
                  </a:solidFill>
                  <a:effectLst/>
                  <a:latin typeface="+mn-lt"/>
                  <a:ea typeface="+mn-ea"/>
                  <a:cs typeface="+mn-cs"/>
                </a:rPr>
                <a:t>Avsetningene til disposisjonsfondet vil være lik avviket mellom minimumskravet til disposisjonsfond (</a:t>
              </a:r>
              <a:r>
                <a:rPr lang="ar-AE" sz="1100" i="0">
                  <a:solidFill>
                    <a:schemeClr val="tx1"/>
                  </a:solidFill>
                  <a:effectLst/>
                  <a:latin typeface="Cambria Math" panose="02040503050406030204" pitchFamily="18" charset="0"/>
                  <a:ea typeface="+mn-ea"/>
                  <a:cs typeface="+mn-cs"/>
                </a:rPr>
                <a:t>〖𝐷𝐹〗_(𝑡,𝑖))</a:t>
              </a:r>
              <a:r>
                <a:rPr lang="nb-NO" sz="1100">
                  <a:solidFill>
                    <a:schemeClr val="tx1"/>
                  </a:solidFill>
                  <a:effectLst/>
                  <a:latin typeface="+mn-lt"/>
                  <a:ea typeface="+mn-ea"/>
                  <a:cs typeface="+mn-cs"/>
                </a:rPr>
                <a:t>og det faktiske nivået (</a:t>
              </a:r>
              <a:r>
                <a:rPr lang="ar-AE" sz="1100" i="0">
                  <a:solidFill>
                    <a:schemeClr val="tx1"/>
                  </a:solidFill>
                  <a:effectLst/>
                  <a:latin typeface="Cambria Math" panose="02040503050406030204" pitchFamily="18" charset="0"/>
                  <a:ea typeface="+mn-ea"/>
                  <a:cs typeface="+mn-cs"/>
                </a:rPr>
                <a:t>〖𝐷𝐹〗_(𝑡−1,𝑖))</a:t>
              </a:r>
              <a:r>
                <a:rPr lang="ar-AE" sz="1100">
                  <a:solidFill>
                    <a:schemeClr val="tx1"/>
                  </a:solidFill>
                  <a:effectLst/>
                  <a:latin typeface="+mn-lt"/>
                  <a:ea typeface="+mn-ea"/>
                  <a:cs typeface="+mn-cs"/>
                </a:rPr>
                <a:t>. </a:t>
              </a:r>
              <a:r>
                <a:rPr lang="nb-NO" sz="1100">
                  <a:solidFill>
                    <a:schemeClr val="tx1"/>
                  </a:solidFill>
                  <a:effectLst/>
                  <a:latin typeface="+mn-lt"/>
                  <a:ea typeface="+mn-ea"/>
                  <a:cs typeface="+mn-cs"/>
                </a:rPr>
                <a:t>Hvis disposisjonsfondet allerede er over minimumskravet er det ikke behov for avsetninger. </a:t>
              </a:r>
            </a:p>
            <a:p>
              <a:endParaRPr lang="nb-NO" sz="1100">
                <a:solidFill>
                  <a:schemeClr val="tx1"/>
                </a:solidFill>
                <a:effectLst/>
                <a:latin typeface="+mn-lt"/>
                <a:ea typeface="+mn-ea"/>
                <a:cs typeface="+mn-cs"/>
              </a:endParaRPr>
            </a:p>
            <a:p>
              <a:r>
                <a:rPr lang="nb-NO" sz="1100" b="1">
                  <a:solidFill>
                    <a:schemeClr val="tx1"/>
                  </a:solidFill>
                  <a:effectLst/>
                  <a:latin typeface="+mn-lt"/>
                  <a:ea typeface="+mn-ea"/>
                  <a:cs typeface="+mn-cs"/>
                </a:rPr>
                <a:t>Kortsiktig minimumsnivå for netto driftsresultat for å bygge opp disposisjonsfond</a:t>
              </a:r>
            </a:p>
            <a:p>
              <a:r>
                <a:rPr lang="nb-NO" sz="1100">
                  <a:solidFill>
                    <a:schemeClr val="tx1"/>
                  </a:solidFill>
                  <a:effectLst/>
                  <a:latin typeface="+mn-lt"/>
                  <a:ea typeface="+mn-ea"/>
                  <a:cs typeface="+mn-cs"/>
                </a:rPr>
                <a:t>Dersom en kommune har et lavere disposisjonsfond enn det anbefalte minimumsnivået bør dette bygges opp gjennom økte netto driftsresultater på kort sikt. I modellen har vi satt fire år som periode for å bygge opp disposisjonsfondet i slike tilfeller. Det kortsiktige minimumsnivå for netto driftsresultat består av de langsiktige minimumsnivået pluss en fjerdedel av differansen mellom faktisk disposisjonsfond og anbefalt disposisjonsfond. Dersom kommunen har et disposisjonsfond som er tilstrekkelig stort til å håndtere rimelig risiko vil det kortsiktige minimumsnivået sammenfalle med det langsiktige minimumsnivået.</a:t>
              </a:r>
            </a:p>
          </xdr:txBody>
        </xdr:sp>
      </mc:Fallback>
    </mc:AlternateContent>
    <xdr:clientData/>
  </xdr:oneCellAnchor>
  <xdr:twoCellAnchor editAs="oneCell">
    <xdr:from>
      <xdr:col>0</xdr:col>
      <xdr:colOff>63501</xdr:colOff>
      <xdr:row>15</xdr:row>
      <xdr:rowOff>247651</xdr:rowOff>
    </xdr:from>
    <xdr:to>
      <xdr:col>6</xdr:col>
      <xdr:colOff>547588</xdr:colOff>
      <xdr:row>32</xdr:row>
      <xdr:rowOff>107950</xdr:rowOff>
    </xdr:to>
    <xdr:pic>
      <xdr:nvPicPr>
        <xdr:cNvPr id="3" name="Bilde 2">
          <a:extLst>
            <a:ext uri="{FF2B5EF4-FFF2-40B4-BE49-F238E27FC236}">
              <a16:creationId xmlns:a16="http://schemas.microsoft.com/office/drawing/2014/main" id="{1C1BE21E-6BA9-4F72-B804-861E2B6FEB3B}"/>
            </a:ext>
          </a:extLst>
        </xdr:cNvPr>
        <xdr:cNvPicPr>
          <a:picLocks noChangeAspect="1"/>
        </xdr:cNvPicPr>
      </xdr:nvPicPr>
      <xdr:blipFill>
        <a:blip xmlns:r="http://schemas.openxmlformats.org/officeDocument/2006/relationships" r:embed="rId1"/>
        <a:stretch>
          <a:fillRect/>
        </a:stretch>
      </xdr:blipFill>
      <xdr:spPr>
        <a:xfrm>
          <a:off x="63501" y="3981451"/>
          <a:ext cx="5056087" cy="4394199"/>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57"/>
  <sheetViews>
    <sheetView topLeftCell="I2" workbookViewId="0">
      <selection activeCell="V2" sqref="V2"/>
    </sheetView>
  </sheetViews>
  <sheetFormatPr baseColWidth="10" defaultColWidth="8.7109375" defaultRowHeight="15"/>
  <cols>
    <col min="1" max="1" width="7.85546875" bestFit="1" customWidth="1"/>
    <col min="2" max="2" width="32.42578125" bestFit="1" customWidth="1"/>
    <col min="3" max="6" width="11.85546875" bestFit="1" customWidth="1"/>
    <col min="7" max="7" width="22.140625" bestFit="1" customWidth="1"/>
    <col min="8" max="8" width="8.85546875" bestFit="1" customWidth="1"/>
    <col min="9" max="9" width="13.28515625" bestFit="1" customWidth="1"/>
    <col min="10" max="10" width="17.7109375" bestFit="1" customWidth="1"/>
    <col min="11" max="11" width="12.140625" bestFit="1" customWidth="1"/>
    <col min="12" max="12" width="14.28515625" bestFit="1" customWidth="1"/>
    <col min="13" max="13" width="14" bestFit="1" customWidth="1"/>
    <col min="14" max="14" width="15.28515625" bestFit="1" customWidth="1"/>
    <col min="15" max="15" width="14.5703125" bestFit="1" customWidth="1"/>
    <col min="16" max="16" width="11.85546875" bestFit="1" customWidth="1"/>
    <col min="17" max="17" width="10.28515625" bestFit="1" customWidth="1"/>
    <col min="18" max="18" width="12.42578125" bestFit="1" customWidth="1"/>
  </cols>
  <sheetData>
    <row r="1" spans="1:22">
      <c r="A1" t="s">
        <v>0</v>
      </c>
      <c r="B1" t="s">
        <v>1</v>
      </c>
      <c r="C1" t="s">
        <v>2</v>
      </c>
      <c r="D1" t="s">
        <v>3</v>
      </c>
      <c r="E1" t="s">
        <v>4</v>
      </c>
      <c r="F1" t="s">
        <v>5</v>
      </c>
      <c r="G1" t="s">
        <v>6</v>
      </c>
      <c r="H1" t="s">
        <v>7</v>
      </c>
      <c r="I1" t="s">
        <v>8</v>
      </c>
      <c r="J1" t="s">
        <v>9</v>
      </c>
      <c r="K1" t="s">
        <v>10</v>
      </c>
      <c r="L1" t="s">
        <v>11</v>
      </c>
      <c r="M1" t="s">
        <v>12</v>
      </c>
      <c r="N1" t="s">
        <v>13</v>
      </c>
      <c r="O1" t="s">
        <v>14</v>
      </c>
      <c r="P1" t="s">
        <v>15</v>
      </c>
      <c r="Q1" t="s">
        <v>16</v>
      </c>
      <c r="R1" t="s">
        <v>185</v>
      </c>
      <c r="S1" t="s">
        <v>72</v>
      </c>
      <c r="T1" t="s">
        <v>73</v>
      </c>
      <c r="U1" t="s">
        <v>74</v>
      </c>
      <c r="V1" t="s">
        <v>75</v>
      </c>
    </row>
    <row r="2" spans="1:22">
      <c r="A2" s="61">
        <v>301</v>
      </c>
      <c r="B2" t="s">
        <v>187</v>
      </c>
      <c r="C2" s="61">
        <v>0.1779986172914505</v>
      </c>
      <c r="D2" s="61">
        <v>8.0666348338127136E-2</v>
      </c>
      <c r="E2" s="61">
        <v>0.28781339526176453</v>
      </c>
      <c r="F2" s="61">
        <v>0.92626941204071045</v>
      </c>
      <c r="G2" s="61">
        <v>6.4869828522205353E-2</v>
      </c>
      <c r="H2" s="61">
        <v>9591827</v>
      </c>
      <c r="I2" s="61">
        <v>69497712</v>
      </c>
      <c r="J2" s="61">
        <v>1631557</v>
      </c>
      <c r="K2" s="61">
        <v>36767384</v>
      </c>
      <c r="L2" s="61">
        <v>0</v>
      </c>
      <c r="M2" s="61">
        <v>18204432</v>
      </c>
      <c r="N2" s="61">
        <v>35169720</v>
      </c>
      <c r="O2" s="61">
        <v>36</v>
      </c>
      <c r="P2" s="61">
        <v>1.5693871974945068</v>
      </c>
      <c r="Q2" s="61">
        <v>5992402</v>
      </c>
      <c r="R2" s="61">
        <v>67339856</v>
      </c>
      <c r="S2" s="61">
        <v>483032</v>
      </c>
      <c r="T2" s="61">
        <v>1488211</v>
      </c>
      <c r="U2" s="61">
        <v>6958532</v>
      </c>
      <c r="V2" s="61">
        <v>1751835</v>
      </c>
    </row>
    <row r="3" spans="1:22">
      <c r="A3" s="61">
        <v>1101</v>
      </c>
      <c r="B3" t="s">
        <v>188</v>
      </c>
      <c r="C3" s="61">
        <v>4.6569112688302994E-2</v>
      </c>
      <c r="D3" s="61">
        <v>0.12094645947217941</v>
      </c>
      <c r="E3" s="61">
        <v>0.294994056224823</v>
      </c>
      <c r="F3" s="61">
        <v>0.91416025161743164</v>
      </c>
      <c r="G3" s="61">
        <v>7.6811976730823517E-2</v>
      </c>
      <c r="H3" s="61">
        <v>1378389</v>
      </c>
      <c r="I3" s="61">
        <v>1325668</v>
      </c>
      <c r="J3" s="61">
        <v>45143</v>
      </c>
      <c r="K3" s="61">
        <v>843671</v>
      </c>
      <c r="L3" s="61">
        <v>0</v>
      </c>
      <c r="M3" s="61">
        <v>901468</v>
      </c>
      <c r="N3" s="61">
        <v>500121</v>
      </c>
      <c r="O3" s="61">
        <v>1018</v>
      </c>
      <c r="P3" s="61">
        <v>1.0449478626251221</v>
      </c>
      <c r="Q3" s="61">
        <v>243475</v>
      </c>
      <c r="R3" s="61">
        <v>1243921</v>
      </c>
      <c r="S3" s="61">
        <v>24299</v>
      </c>
      <c r="T3" s="61">
        <v>53016</v>
      </c>
      <c r="U3" s="61">
        <v>343748</v>
      </c>
      <c r="V3" s="61">
        <v>55327</v>
      </c>
    </row>
    <row r="4" spans="1:22">
      <c r="A4" s="61">
        <v>1103</v>
      </c>
      <c r="B4" t="s">
        <v>189</v>
      </c>
      <c r="C4" s="61">
        <v>3.6406911909580231E-2</v>
      </c>
      <c r="D4" s="61">
        <v>0.14013595879077911</v>
      </c>
      <c r="E4" s="61">
        <v>0.25332590937614441</v>
      </c>
      <c r="F4" s="61">
        <v>0.91400814056396484</v>
      </c>
      <c r="G4" s="61">
        <v>7.3993504047393799E-2</v>
      </c>
      <c r="H4" s="61">
        <v>9832620</v>
      </c>
      <c r="I4" s="61">
        <v>11763050</v>
      </c>
      <c r="J4" s="61">
        <v>413957</v>
      </c>
      <c r="K4" s="61">
        <v>6502301</v>
      </c>
      <c r="L4" s="61">
        <v>0</v>
      </c>
      <c r="M4" s="61">
        <v>7197259</v>
      </c>
      <c r="N4" s="61">
        <v>5548456</v>
      </c>
      <c r="O4" s="61">
        <v>0</v>
      </c>
      <c r="P4" s="61">
        <v>1.1959148645401001</v>
      </c>
      <c r="Q4" s="61">
        <v>1058646</v>
      </c>
      <c r="R4" s="61">
        <v>11154567</v>
      </c>
      <c r="S4" s="61">
        <v>232343</v>
      </c>
      <c r="T4" s="61">
        <v>348950</v>
      </c>
      <c r="U4" s="61">
        <v>1109669</v>
      </c>
      <c r="V4" s="61">
        <v>320562</v>
      </c>
    </row>
    <row r="5" spans="1:22">
      <c r="A5" s="61">
        <v>1106</v>
      </c>
      <c r="B5" t="s">
        <v>190</v>
      </c>
      <c r="C5" s="61">
        <v>3.7237968295812607E-2</v>
      </c>
      <c r="D5" s="61">
        <v>0.1043555811047554</v>
      </c>
      <c r="E5" s="61">
        <v>0.26255413889884949</v>
      </c>
      <c r="F5" s="61">
        <v>0.91847378015518188</v>
      </c>
      <c r="G5" s="61">
        <v>5.3062863647937775E-2</v>
      </c>
      <c r="H5" s="61">
        <v>2564451</v>
      </c>
      <c r="I5" s="61">
        <v>3104516</v>
      </c>
      <c r="J5" s="61">
        <v>76172</v>
      </c>
      <c r="K5" s="61">
        <v>1416933</v>
      </c>
      <c r="L5" s="61">
        <v>0</v>
      </c>
      <c r="M5" s="61">
        <v>1408331</v>
      </c>
      <c r="N5" s="61">
        <v>1111353</v>
      </c>
      <c r="O5" s="61">
        <v>0</v>
      </c>
      <c r="P5" s="61">
        <v>0.92062747478485107</v>
      </c>
      <c r="Q5" s="61">
        <v>264819</v>
      </c>
      <c r="R5" s="61">
        <v>2969582</v>
      </c>
      <c r="S5" s="61">
        <v>59844</v>
      </c>
      <c r="T5" s="61">
        <v>91146</v>
      </c>
      <c r="U5" s="61">
        <v>237367</v>
      </c>
      <c r="V5" s="61">
        <v>42686</v>
      </c>
    </row>
    <row r="6" spans="1:22">
      <c r="A6" s="61">
        <v>1108</v>
      </c>
      <c r="B6" t="s">
        <v>191</v>
      </c>
      <c r="C6" s="61">
        <v>4.1326731443405151E-2</v>
      </c>
      <c r="D6" s="61">
        <v>0.12511052191257477</v>
      </c>
      <c r="E6" s="61">
        <v>0.40130838751792908</v>
      </c>
      <c r="F6" s="61">
        <v>0.9352269172668457</v>
      </c>
      <c r="G6" s="61">
        <v>8.8045326992869377E-3</v>
      </c>
      <c r="H6" s="61">
        <v>7206100</v>
      </c>
      <c r="I6" s="61">
        <v>6179977</v>
      </c>
      <c r="J6" s="61">
        <v>188311</v>
      </c>
      <c r="K6" s="61">
        <v>4277592</v>
      </c>
      <c r="L6" s="61">
        <v>0</v>
      </c>
      <c r="M6" s="61">
        <v>4924937</v>
      </c>
      <c r="N6" s="61">
        <v>2434392</v>
      </c>
      <c r="O6" s="61">
        <v>30917</v>
      </c>
      <c r="P6" s="61">
        <v>0.94716405868530273</v>
      </c>
      <c r="Q6" s="61">
        <v>659689</v>
      </c>
      <c r="R6" s="61">
        <v>5843109</v>
      </c>
      <c r="S6" s="61">
        <v>121599</v>
      </c>
      <c r="T6" s="61">
        <v>271000</v>
      </c>
      <c r="U6" s="61">
        <v>1145481</v>
      </c>
      <c r="V6" s="61">
        <v>376079</v>
      </c>
    </row>
    <row r="7" spans="1:22">
      <c r="A7" s="61">
        <v>1111</v>
      </c>
      <c r="B7" t="s">
        <v>192</v>
      </c>
      <c r="C7" s="61">
        <v>3.6912262439727783E-2</v>
      </c>
      <c r="D7" s="61">
        <v>0.12107571214437485</v>
      </c>
      <c r="E7" s="61">
        <v>0.26531180739402771</v>
      </c>
      <c r="F7" s="61">
        <v>0.92688655853271484</v>
      </c>
      <c r="G7" s="61">
        <v>2.677353098988533E-2</v>
      </c>
      <c r="H7" s="61">
        <v>305016</v>
      </c>
      <c r="I7" s="61">
        <v>311050</v>
      </c>
      <c r="J7" s="61">
        <v>5266</v>
      </c>
      <c r="K7" s="61">
        <v>278679</v>
      </c>
      <c r="L7" s="61">
        <v>0</v>
      </c>
      <c r="M7" s="61">
        <v>168125</v>
      </c>
      <c r="N7" s="61">
        <v>84973</v>
      </c>
      <c r="O7" s="61">
        <v>36</v>
      </c>
      <c r="P7" s="61">
        <v>0.80169838666915894</v>
      </c>
      <c r="Q7" s="61">
        <v>62053</v>
      </c>
      <c r="R7" s="61">
        <v>291568</v>
      </c>
      <c r="S7" s="61">
        <v>5815</v>
      </c>
      <c r="T7" s="61">
        <v>10650</v>
      </c>
      <c r="U7" s="61">
        <v>44629</v>
      </c>
      <c r="V7" s="61">
        <v>12464</v>
      </c>
    </row>
    <row r="8" spans="1:22">
      <c r="A8" s="61">
        <v>1112</v>
      </c>
      <c r="B8" t="s">
        <v>193</v>
      </c>
      <c r="C8" s="61">
        <v>3.8817204535007477E-2</v>
      </c>
      <c r="D8" s="61">
        <v>0.11010956019163132</v>
      </c>
      <c r="E8" s="61">
        <v>0.30522260069847107</v>
      </c>
      <c r="F8" s="61">
        <v>0.94609189033508301</v>
      </c>
      <c r="G8" s="61">
        <v>5.9319932013750076E-2</v>
      </c>
      <c r="H8" s="61">
        <v>274628</v>
      </c>
      <c r="I8" s="61">
        <v>294423</v>
      </c>
      <c r="J8" s="61">
        <v>8304</v>
      </c>
      <c r="K8" s="61">
        <v>140497</v>
      </c>
      <c r="L8" s="61">
        <v>0</v>
      </c>
      <c r="M8" s="61">
        <v>135134</v>
      </c>
      <c r="N8" s="61">
        <v>80162</v>
      </c>
      <c r="O8" s="61">
        <v>984</v>
      </c>
      <c r="P8" s="61">
        <v>0.7747313380241394</v>
      </c>
      <c r="Q8" s="61">
        <v>18158</v>
      </c>
      <c r="R8" s="61">
        <v>279536</v>
      </c>
      <c r="S8" s="61">
        <v>4528</v>
      </c>
      <c r="T8" s="61">
        <v>10385</v>
      </c>
      <c r="U8" s="61">
        <v>18800</v>
      </c>
      <c r="V8" s="61">
        <v>4332</v>
      </c>
    </row>
    <row r="9" spans="1:22">
      <c r="A9" s="61">
        <v>1114</v>
      </c>
      <c r="B9" t="s">
        <v>194</v>
      </c>
      <c r="C9" s="61">
        <v>6.9986961781978607E-2</v>
      </c>
      <c r="D9" s="61">
        <v>0.12856622040271759</v>
      </c>
      <c r="E9" s="61">
        <v>0.35138499736785889</v>
      </c>
      <c r="F9" s="61">
        <v>0.92294317483901978</v>
      </c>
      <c r="G9" s="61">
        <v>5.1168251782655716E-2</v>
      </c>
      <c r="H9" s="61">
        <v>121455</v>
      </c>
      <c r="I9" s="61">
        <v>246181</v>
      </c>
      <c r="J9" s="61">
        <v>7641</v>
      </c>
      <c r="K9" s="61">
        <v>139459</v>
      </c>
      <c r="L9" s="61">
        <v>0</v>
      </c>
      <c r="M9" s="61">
        <v>63749</v>
      </c>
      <c r="N9" s="61">
        <v>72723</v>
      </c>
      <c r="O9" s="61">
        <v>77</v>
      </c>
      <c r="P9" s="61">
        <v>0.80749291181564331</v>
      </c>
      <c r="Q9" s="61">
        <v>30800</v>
      </c>
      <c r="R9" s="61">
        <v>229153</v>
      </c>
      <c r="S9" s="61">
        <v>2413</v>
      </c>
      <c r="T9" s="61">
        <v>8749</v>
      </c>
      <c r="U9" s="61">
        <v>23366</v>
      </c>
      <c r="V9" s="61">
        <v>6205</v>
      </c>
    </row>
    <row r="10" spans="1:22">
      <c r="A10" s="61">
        <v>1119</v>
      </c>
      <c r="B10" t="s">
        <v>195</v>
      </c>
      <c r="C10" s="61">
        <v>6.1317015439271927E-2</v>
      </c>
      <c r="D10" s="61">
        <v>0.21171191334724426</v>
      </c>
      <c r="E10" s="61">
        <v>0.26434874534606934</v>
      </c>
      <c r="F10" s="61">
        <v>0.89559507369995117</v>
      </c>
      <c r="G10" s="61">
        <v>4.897642508149147E-2</v>
      </c>
      <c r="H10" s="61">
        <v>1207392</v>
      </c>
      <c r="I10" s="61">
        <v>1572068</v>
      </c>
      <c r="J10" s="61">
        <v>36983</v>
      </c>
      <c r="K10" s="61">
        <v>753619</v>
      </c>
      <c r="L10" s="61">
        <v>0</v>
      </c>
      <c r="M10" s="61">
        <v>896964</v>
      </c>
      <c r="N10" s="61">
        <v>495345</v>
      </c>
      <c r="O10" s="61">
        <v>0</v>
      </c>
      <c r="P10" s="61">
        <v>0.80716782808303833</v>
      </c>
      <c r="Q10" s="61">
        <v>274589</v>
      </c>
      <c r="R10" s="61">
        <v>1416434</v>
      </c>
      <c r="S10" s="61">
        <v>20608</v>
      </c>
      <c r="T10" s="61">
        <v>73641</v>
      </c>
      <c r="U10" s="61">
        <v>279223</v>
      </c>
      <c r="V10" s="61">
        <v>92611</v>
      </c>
    </row>
    <row r="11" spans="1:22">
      <c r="A11" s="61">
        <v>1120</v>
      </c>
      <c r="B11" t="s">
        <v>196</v>
      </c>
      <c r="C11" s="61">
        <v>7.591991126537323E-2</v>
      </c>
      <c r="D11" s="61">
        <v>0.14787645637989044</v>
      </c>
      <c r="E11" s="61">
        <v>0.28499370813369751</v>
      </c>
      <c r="F11" s="61">
        <v>0.90533071756362915</v>
      </c>
      <c r="G11" s="61">
        <v>5.8505695313215256E-2</v>
      </c>
      <c r="H11" s="61">
        <v>1116743</v>
      </c>
      <c r="I11" s="61">
        <v>1523701</v>
      </c>
      <c r="J11" s="61">
        <v>47107</v>
      </c>
      <c r="K11" s="61">
        <v>813969</v>
      </c>
      <c r="L11" s="61">
        <v>0</v>
      </c>
      <c r="M11" s="61">
        <v>867372</v>
      </c>
      <c r="N11" s="61">
        <v>571777</v>
      </c>
      <c r="O11" s="61">
        <v>0</v>
      </c>
      <c r="P11" s="61">
        <v>0.90331763029098511</v>
      </c>
      <c r="Q11" s="61">
        <v>232143</v>
      </c>
      <c r="R11" s="61">
        <v>1401259</v>
      </c>
      <c r="S11" s="61">
        <v>18953</v>
      </c>
      <c r="T11" s="61">
        <v>77328</v>
      </c>
      <c r="U11" s="61">
        <v>302069</v>
      </c>
      <c r="V11" s="61">
        <v>64488</v>
      </c>
    </row>
    <row r="12" spans="1:22">
      <c r="A12" s="61">
        <v>1121</v>
      </c>
      <c r="B12" t="s">
        <v>197</v>
      </c>
      <c r="C12" s="61">
        <v>3.7506520748138428E-2</v>
      </c>
      <c r="D12" s="61">
        <v>0.18885336816310883</v>
      </c>
      <c r="E12" s="61">
        <v>0.33021768927574158</v>
      </c>
      <c r="F12" s="61">
        <v>0.92987918853759766</v>
      </c>
      <c r="G12" s="61">
        <v>5.7562313973903656E-2</v>
      </c>
      <c r="H12" s="61">
        <v>1548176</v>
      </c>
      <c r="I12" s="61">
        <v>1455043</v>
      </c>
      <c r="J12" s="61">
        <v>46412</v>
      </c>
      <c r="K12" s="61">
        <v>781783</v>
      </c>
      <c r="L12" s="61">
        <v>0</v>
      </c>
      <c r="M12" s="61">
        <v>1133226</v>
      </c>
      <c r="N12" s="61">
        <v>563308</v>
      </c>
      <c r="O12" s="61">
        <v>0</v>
      </c>
      <c r="P12" s="61">
        <v>0.92155343294143677</v>
      </c>
      <c r="Q12" s="61">
        <v>96269</v>
      </c>
      <c r="R12" s="61">
        <v>1396785</v>
      </c>
      <c r="S12" s="61">
        <v>24277</v>
      </c>
      <c r="T12" s="61">
        <v>55283</v>
      </c>
      <c r="U12" s="61">
        <v>267035</v>
      </c>
      <c r="V12" s="61">
        <v>131099</v>
      </c>
    </row>
    <row r="13" spans="1:22">
      <c r="A13" s="61">
        <v>1122</v>
      </c>
      <c r="B13" t="s">
        <v>198</v>
      </c>
      <c r="C13" s="61">
        <v>3.5315528512001038E-2</v>
      </c>
      <c r="D13" s="61">
        <v>0.19567298889160156</v>
      </c>
      <c r="E13" s="61">
        <v>0.25316581130027771</v>
      </c>
      <c r="F13" s="61">
        <v>0.90795797109603882</v>
      </c>
      <c r="G13" s="61">
        <v>4.194728285074234E-2</v>
      </c>
      <c r="H13" s="61">
        <v>1034162</v>
      </c>
      <c r="I13" s="61">
        <v>974782</v>
      </c>
      <c r="J13" s="61">
        <v>17709</v>
      </c>
      <c r="K13" s="61">
        <v>490005</v>
      </c>
      <c r="L13" s="61">
        <v>0</v>
      </c>
      <c r="M13" s="61">
        <v>767419</v>
      </c>
      <c r="N13" s="61">
        <v>324379</v>
      </c>
      <c r="O13" s="61">
        <v>1050</v>
      </c>
      <c r="P13" s="61">
        <v>0.83637881278991699</v>
      </c>
      <c r="Q13" s="61">
        <v>95883</v>
      </c>
      <c r="R13" s="61">
        <v>924489</v>
      </c>
      <c r="S13" s="61">
        <v>18774</v>
      </c>
      <c r="T13" s="61">
        <v>34113</v>
      </c>
      <c r="U13" s="61">
        <v>121698</v>
      </c>
      <c r="V13" s="61">
        <v>22676</v>
      </c>
    </row>
    <row r="14" spans="1:22">
      <c r="A14" s="61">
        <v>1124</v>
      </c>
      <c r="B14" t="s">
        <v>199</v>
      </c>
      <c r="C14" s="61">
        <v>4.1271157562732697E-2</v>
      </c>
      <c r="D14" s="61">
        <v>0.20742605626583099</v>
      </c>
      <c r="E14" s="61">
        <v>0.2658001184463501</v>
      </c>
      <c r="F14" s="61">
        <v>0.90348762273788452</v>
      </c>
      <c r="G14" s="61">
        <v>7.5273722410202026E-2</v>
      </c>
      <c r="H14" s="61">
        <v>2175633</v>
      </c>
      <c r="I14" s="61">
        <v>2124146</v>
      </c>
      <c r="J14" s="61">
        <v>82008</v>
      </c>
      <c r="K14" s="61">
        <v>1308902</v>
      </c>
      <c r="L14" s="61">
        <v>0</v>
      </c>
      <c r="M14" s="61">
        <v>1499577</v>
      </c>
      <c r="N14" s="61">
        <v>1057879</v>
      </c>
      <c r="O14" s="61">
        <v>0</v>
      </c>
      <c r="P14" s="61">
        <v>1.2056523561477661</v>
      </c>
      <c r="Q14" s="61">
        <v>165237</v>
      </c>
      <c r="R14" s="61">
        <v>1992580</v>
      </c>
      <c r="S14" s="61">
        <v>41984</v>
      </c>
      <c r="T14" s="61">
        <v>89284</v>
      </c>
      <c r="U14" s="61">
        <v>453437</v>
      </c>
      <c r="V14" s="61">
        <v>227258</v>
      </c>
    </row>
    <row r="15" spans="1:22">
      <c r="A15" s="61">
        <v>1127</v>
      </c>
      <c r="B15" t="s">
        <v>200</v>
      </c>
      <c r="C15" s="61">
        <v>3.325754776597023E-2</v>
      </c>
      <c r="D15" s="61">
        <v>0.211203932762146</v>
      </c>
      <c r="E15" s="61">
        <v>0.25508409738540649</v>
      </c>
      <c r="F15" s="61">
        <v>0.93212270736694336</v>
      </c>
      <c r="G15" s="61">
        <v>4.7178953886032104E-2</v>
      </c>
      <c r="H15" s="61">
        <v>1299796</v>
      </c>
      <c r="I15" s="61">
        <v>934883</v>
      </c>
      <c r="J15" s="61">
        <v>28224</v>
      </c>
      <c r="K15" s="61">
        <v>591446</v>
      </c>
      <c r="L15" s="61">
        <v>0</v>
      </c>
      <c r="M15" s="61">
        <v>925073</v>
      </c>
      <c r="N15" s="61">
        <v>389630</v>
      </c>
      <c r="O15" s="61">
        <v>0</v>
      </c>
      <c r="P15" s="61">
        <v>1.0745452642440796</v>
      </c>
      <c r="Q15" s="61">
        <v>52493</v>
      </c>
      <c r="R15" s="61">
        <v>895338</v>
      </c>
      <c r="S15" s="61">
        <v>27188</v>
      </c>
      <c r="T15" s="61">
        <v>43840</v>
      </c>
      <c r="U15" s="61">
        <v>172284</v>
      </c>
      <c r="V15" s="61">
        <v>127738</v>
      </c>
    </row>
    <row r="16" spans="1:22">
      <c r="A16" s="61">
        <v>1130</v>
      </c>
      <c r="B16" t="s">
        <v>201</v>
      </c>
      <c r="C16" s="61">
        <v>3.101721778512001E-2</v>
      </c>
      <c r="D16" s="61">
        <v>0.15505190193653107</v>
      </c>
      <c r="E16" s="61">
        <v>0.28205731511116028</v>
      </c>
      <c r="F16" s="61">
        <v>0.90310442447662354</v>
      </c>
      <c r="G16" s="61">
        <v>4.6650238335132599E-2</v>
      </c>
      <c r="H16" s="61">
        <v>1241543</v>
      </c>
      <c r="I16" s="61">
        <v>1067285</v>
      </c>
      <c r="J16" s="61">
        <v>28058</v>
      </c>
      <c r="K16" s="61">
        <v>634041</v>
      </c>
      <c r="L16" s="61">
        <v>0</v>
      </c>
      <c r="M16" s="61">
        <v>894753</v>
      </c>
      <c r="N16" s="61">
        <v>352943</v>
      </c>
      <c r="O16" s="61">
        <v>407</v>
      </c>
      <c r="P16" s="61">
        <v>0.84223926067352295</v>
      </c>
      <c r="Q16" s="61">
        <v>131033</v>
      </c>
      <c r="R16" s="61">
        <v>1012468</v>
      </c>
      <c r="S16" s="61">
        <v>25978</v>
      </c>
      <c r="T16" s="61">
        <v>33682</v>
      </c>
      <c r="U16" s="61">
        <v>373373</v>
      </c>
      <c r="V16" s="61">
        <v>134531</v>
      </c>
    </row>
    <row r="17" spans="1:22">
      <c r="A17" s="61">
        <v>1133</v>
      </c>
      <c r="B17" t="s">
        <v>202</v>
      </c>
      <c r="C17" s="61">
        <v>5.6633614003658295E-2</v>
      </c>
      <c r="D17" s="61">
        <v>0.10947113484144211</v>
      </c>
      <c r="E17" s="61">
        <v>0.18302232027053833</v>
      </c>
      <c r="F17" s="61">
        <v>0.88267350196838379</v>
      </c>
      <c r="G17" s="61">
        <v>4.2157836258411407E-2</v>
      </c>
      <c r="H17" s="61">
        <v>319980</v>
      </c>
      <c r="I17" s="61">
        <v>352685</v>
      </c>
      <c r="J17" s="61">
        <v>9313</v>
      </c>
      <c r="K17" s="61">
        <v>266835</v>
      </c>
      <c r="L17" s="61">
        <v>0</v>
      </c>
      <c r="M17" s="61">
        <v>193997</v>
      </c>
      <c r="N17" s="61">
        <v>72496</v>
      </c>
      <c r="O17" s="61">
        <v>36910</v>
      </c>
      <c r="P17" s="61">
        <v>0.87158429622650146</v>
      </c>
      <c r="Q17" s="61">
        <v>66016</v>
      </c>
      <c r="R17" s="61">
        <v>312769</v>
      </c>
      <c r="S17" s="61">
        <v>5220</v>
      </c>
      <c r="T17" s="61">
        <v>17438</v>
      </c>
      <c r="U17" s="61">
        <v>32060</v>
      </c>
      <c r="V17" s="61">
        <v>5608</v>
      </c>
    </row>
    <row r="18" spans="1:22">
      <c r="A18" s="61">
        <v>1134</v>
      </c>
      <c r="B18" t="s">
        <v>203</v>
      </c>
      <c r="C18" s="61">
        <v>7.1291424334049225E-2</v>
      </c>
      <c r="D18" s="61">
        <v>0.15223340690135956</v>
      </c>
      <c r="E18" s="61">
        <v>0.20504686236381531</v>
      </c>
      <c r="F18" s="61">
        <v>0.8727906346321106</v>
      </c>
      <c r="G18" s="61">
        <v>2.7678649872541428E-2</v>
      </c>
      <c r="H18" s="61">
        <v>306380</v>
      </c>
      <c r="I18" s="61">
        <v>578586</v>
      </c>
      <c r="J18" s="61">
        <v>15480</v>
      </c>
      <c r="K18" s="61">
        <v>761274</v>
      </c>
      <c r="L18" s="61">
        <v>0</v>
      </c>
      <c r="M18" s="61">
        <v>167455</v>
      </c>
      <c r="N18" s="61">
        <v>96992</v>
      </c>
      <c r="O18" s="61">
        <v>79333</v>
      </c>
      <c r="P18" s="61">
        <v>0.78904050588607788</v>
      </c>
      <c r="Q18" s="61">
        <v>193825</v>
      </c>
      <c r="R18" s="61">
        <v>534561</v>
      </c>
      <c r="S18" s="61">
        <v>4737</v>
      </c>
      <c r="T18" s="61">
        <v>22427</v>
      </c>
      <c r="U18" s="61">
        <v>40275</v>
      </c>
      <c r="V18" s="61">
        <v>15169</v>
      </c>
    </row>
    <row r="19" spans="1:22">
      <c r="A19" s="61">
        <v>1135</v>
      </c>
      <c r="B19" t="s">
        <v>204</v>
      </c>
      <c r="C19" s="61">
        <v>5.4553255438804626E-2</v>
      </c>
      <c r="D19" s="61">
        <v>0.13721340894699097</v>
      </c>
      <c r="E19" s="61">
        <v>0.22232383489608765</v>
      </c>
      <c r="F19" s="61">
        <v>0.91679960489273071</v>
      </c>
      <c r="G19" s="61">
        <v>1.0779989883303642E-2</v>
      </c>
      <c r="H19" s="61">
        <v>565366</v>
      </c>
      <c r="I19" s="61">
        <v>564741</v>
      </c>
      <c r="J19" s="61">
        <v>1800</v>
      </c>
      <c r="K19" s="61">
        <v>302641</v>
      </c>
      <c r="L19" s="61">
        <v>0</v>
      </c>
      <c r="M19" s="61">
        <v>363066</v>
      </c>
      <c r="N19" s="61">
        <v>127913</v>
      </c>
      <c r="O19" s="61">
        <v>25663</v>
      </c>
      <c r="P19" s="61">
        <v>0.86145597696304321</v>
      </c>
      <c r="Q19" s="61">
        <v>96017</v>
      </c>
      <c r="R19" s="61">
        <v>510452</v>
      </c>
      <c r="S19" s="61">
        <v>7992</v>
      </c>
      <c r="T19" s="61">
        <v>29367</v>
      </c>
      <c r="U19" s="61">
        <v>59641</v>
      </c>
      <c r="V19" s="61">
        <v>13819</v>
      </c>
    </row>
    <row r="20" spans="1:22">
      <c r="A20" s="61">
        <v>1144</v>
      </c>
      <c r="B20" t="s">
        <v>205</v>
      </c>
      <c r="C20" s="61">
        <v>3.8874361664056778E-2</v>
      </c>
      <c r="D20" s="61">
        <v>0.14370974898338318</v>
      </c>
      <c r="E20" s="61">
        <v>0.34142404794692993</v>
      </c>
      <c r="F20" s="61">
        <v>0.93589562177658081</v>
      </c>
      <c r="G20" s="61">
        <v>4.1304521262645721E-2</v>
      </c>
      <c r="H20" s="61">
        <v>42942</v>
      </c>
      <c r="I20" s="61">
        <v>71112</v>
      </c>
      <c r="J20" s="61">
        <v>2026</v>
      </c>
      <c r="K20" s="61">
        <v>52534</v>
      </c>
      <c r="L20" s="61">
        <v>0</v>
      </c>
      <c r="M20" s="61">
        <v>31676</v>
      </c>
      <c r="N20" s="61">
        <v>13557</v>
      </c>
      <c r="O20" s="61">
        <v>0</v>
      </c>
      <c r="P20" s="61">
        <v>0.8114783763885498</v>
      </c>
      <c r="Q20" s="61">
        <v>21122</v>
      </c>
      <c r="R20" s="61">
        <v>68920</v>
      </c>
      <c r="S20" s="61">
        <v>564</v>
      </c>
      <c r="T20" s="61">
        <v>1561</v>
      </c>
      <c r="U20" s="61">
        <v>3383</v>
      </c>
      <c r="V20" s="61">
        <v>591</v>
      </c>
    </row>
    <row r="21" spans="1:22">
      <c r="A21" s="61">
        <v>1145</v>
      </c>
      <c r="B21" t="s">
        <v>206</v>
      </c>
      <c r="C21" s="61">
        <v>4.2665842920541763E-2</v>
      </c>
      <c r="D21" s="61">
        <v>0.16639943420886993</v>
      </c>
      <c r="E21" s="61">
        <v>0.32467761635780334</v>
      </c>
      <c r="F21" s="61">
        <v>0.88446784019470215</v>
      </c>
      <c r="G21" s="61">
        <v>2.5517070665955544E-2</v>
      </c>
      <c r="H21" s="61">
        <v>143745</v>
      </c>
      <c r="I21" s="61">
        <v>119049</v>
      </c>
      <c r="J21" s="61">
        <v>1243</v>
      </c>
      <c r="K21" s="61">
        <v>182962</v>
      </c>
      <c r="L21" s="61">
        <v>0</v>
      </c>
      <c r="M21" s="61">
        <v>126199</v>
      </c>
      <c r="N21" s="61">
        <v>23677</v>
      </c>
      <c r="O21" s="61">
        <v>0</v>
      </c>
      <c r="P21" s="61">
        <v>0.85998523235321045</v>
      </c>
      <c r="Q21" s="61">
        <v>31485</v>
      </c>
      <c r="R21" s="61">
        <v>111290</v>
      </c>
      <c r="S21" s="61">
        <v>2373</v>
      </c>
      <c r="T21" s="61">
        <v>6076</v>
      </c>
      <c r="U21" s="61">
        <v>29052</v>
      </c>
      <c r="V21" s="61">
        <v>28842</v>
      </c>
    </row>
    <row r="22" spans="1:22">
      <c r="A22" s="61">
        <v>1146</v>
      </c>
      <c r="B22" t="s">
        <v>207</v>
      </c>
      <c r="C22" s="61">
        <v>3.5658221691846848E-2</v>
      </c>
      <c r="D22" s="61">
        <v>0.18614092469215393</v>
      </c>
      <c r="E22" s="61">
        <v>0.26715433597564697</v>
      </c>
      <c r="F22" s="61">
        <v>0.87801277637481689</v>
      </c>
      <c r="G22" s="61">
        <v>3.7751786410808563E-2</v>
      </c>
      <c r="H22" s="61">
        <v>1379725</v>
      </c>
      <c r="I22" s="61">
        <v>1151944</v>
      </c>
      <c r="J22" s="61">
        <v>30399</v>
      </c>
      <c r="K22" s="61">
        <v>789332</v>
      </c>
      <c r="L22" s="61">
        <v>0</v>
      </c>
      <c r="M22" s="61">
        <v>780734</v>
      </c>
      <c r="N22" s="61">
        <v>296200</v>
      </c>
      <c r="O22" s="61">
        <v>0</v>
      </c>
      <c r="P22" s="61">
        <v>0.82839512825012207</v>
      </c>
      <c r="Q22" s="61">
        <v>282560</v>
      </c>
      <c r="R22" s="61">
        <v>1036645</v>
      </c>
      <c r="S22" s="61">
        <v>25388</v>
      </c>
      <c r="T22" s="61">
        <v>46067</v>
      </c>
      <c r="U22" s="61">
        <v>292501</v>
      </c>
      <c r="V22" s="61">
        <v>63452</v>
      </c>
    </row>
    <row r="23" spans="1:22">
      <c r="A23" s="61">
        <v>1149</v>
      </c>
      <c r="B23" t="s">
        <v>208</v>
      </c>
      <c r="C23" s="61">
        <v>4.1608598083257675E-2</v>
      </c>
      <c r="D23" s="61">
        <v>0.11281297355890274</v>
      </c>
      <c r="E23" s="61">
        <v>0.25873342156410217</v>
      </c>
      <c r="F23" s="61">
        <v>0.92568188905715942</v>
      </c>
      <c r="G23" s="61">
        <v>4.9487292766571045E-2</v>
      </c>
      <c r="H23" s="61">
        <v>2465078</v>
      </c>
      <c r="I23" s="61">
        <v>3300532</v>
      </c>
      <c r="J23" s="61">
        <v>102051</v>
      </c>
      <c r="K23" s="61">
        <v>1901934</v>
      </c>
      <c r="L23" s="61">
        <v>0</v>
      </c>
      <c r="M23" s="61">
        <v>1136949</v>
      </c>
      <c r="N23" s="61">
        <v>1125827</v>
      </c>
      <c r="O23" s="61">
        <v>0</v>
      </c>
      <c r="P23" s="61">
        <v>0.82586151361465454</v>
      </c>
      <c r="Q23" s="61">
        <v>440057</v>
      </c>
      <c r="R23" s="61">
        <v>3157184</v>
      </c>
      <c r="S23" s="61">
        <v>47994</v>
      </c>
      <c r="T23" s="61">
        <v>89690</v>
      </c>
      <c r="U23" s="61">
        <v>458842</v>
      </c>
      <c r="V23" s="61">
        <v>146806</v>
      </c>
    </row>
    <row r="24" spans="1:22">
      <c r="A24" s="61">
        <v>1151</v>
      </c>
      <c r="B24" t="s">
        <v>209</v>
      </c>
      <c r="C24" s="61">
        <v>3.483879566192627E-2</v>
      </c>
      <c r="D24" s="61">
        <v>0.20534496009349823</v>
      </c>
      <c r="E24" s="61">
        <v>0.21383547782897949</v>
      </c>
      <c r="F24" s="61">
        <v>0.88612276315689087</v>
      </c>
      <c r="G24" s="61">
        <v>4.0895208716392517E-2</v>
      </c>
      <c r="H24" s="61">
        <v>30572</v>
      </c>
      <c r="I24" s="61">
        <v>44777</v>
      </c>
      <c r="J24" s="61">
        <v>1019</v>
      </c>
      <c r="K24" s="61">
        <v>24238</v>
      </c>
      <c r="L24" s="61">
        <v>0</v>
      </c>
      <c r="M24" s="61">
        <v>16933</v>
      </c>
      <c r="N24" s="61">
        <v>6085</v>
      </c>
      <c r="O24" s="61">
        <v>0</v>
      </c>
      <c r="P24" s="61">
        <v>0.95104110240936279</v>
      </c>
      <c r="Q24" s="61">
        <v>10102</v>
      </c>
      <c r="R24" s="61">
        <v>40149</v>
      </c>
      <c r="S24" s="61">
        <v>536</v>
      </c>
      <c r="T24" s="61">
        <v>1046</v>
      </c>
      <c r="U24" s="61">
        <v>3493</v>
      </c>
      <c r="V24" s="61">
        <v>72</v>
      </c>
    </row>
    <row r="25" spans="1:22">
      <c r="A25" s="61">
        <v>1160</v>
      </c>
      <c r="B25" t="s">
        <v>210</v>
      </c>
      <c r="C25" s="61">
        <v>3.6632157862186432E-2</v>
      </c>
      <c r="D25" s="61">
        <v>0.11754335463047028</v>
      </c>
      <c r="E25" s="61">
        <v>0.37103646993637085</v>
      </c>
      <c r="F25" s="61">
        <v>0.92819827795028687</v>
      </c>
      <c r="G25" s="61">
        <v>4.8649124801158905E-2</v>
      </c>
      <c r="H25" s="61">
        <v>554646</v>
      </c>
      <c r="I25" s="61">
        <v>816213</v>
      </c>
      <c r="J25" s="61">
        <v>19602</v>
      </c>
      <c r="K25" s="61">
        <v>416349</v>
      </c>
      <c r="L25" s="61">
        <v>0</v>
      </c>
      <c r="M25" s="61">
        <v>324037</v>
      </c>
      <c r="N25" s="61">
        <v>308048</v>
      </c>
      <c r="O25" s="61">
        <v>0</v>
      </c>
      <c r="P25" s="61">
        <v>1.0939682722091675</v>
      </c>
      <c r="Q25" s="61">
        <v>149896</v>
      </c>
      <c r="R25" s="61">
        <v>760238</v>
      </c>
      <c r="S25" s="61">
        <v>9416</v>
      </c>
      <c r="T25" s="61">
        <v>19037</v>
      </c>
      <c r="U25" s="61">
        <v>57939</v>
      </c>
      <c r="V25" s="61">
        <v>25255</v>
      </c>
    </row>
    <row r="26" spans="1:22">
      <c r="A26" s="61">
        <v>1505</v>
      </c>
      <c r="B26" t="s">
        <v>211</v>
      </c>
      <c r="C26" s="61">
        <v>3.8654375821352005E-2</v>
      </c>
      <c r="D26" s="61">
        <v>0.16749763488769531</v>
      </c>
      <c r="E26" s="61">
        <v>0.26810774207115173</v>
      </c>
      <c r="F26" s="61">
        <v>0.92404299974441528</v>
      </c>
      <c r="G26" s="61">
        <v>1.8001306802034378E-2</v>
      </c>
      <c r="H26" s="61">
        <v>3235591</v>
      </c>
      <c r="I26" s="61">
        <v>2169053</v>
      </c>
      <c r="J26" s="61">
        <v>23843</v>
      </c>
      <c r="K26" s="61">
        <v>1524118</v>
      </c>
      <c r="L26" s="61">
        <v>0</v>
      </c>
      <c r="M26" s="61">
        <v>1959331</v>
      </c>
      <c r="N26" s="61">
        <v>646563</v>
      </c>
      <c r="O26" s="61">
        <v>0</v>
      </c>
      <c r="P26" s="61">
        <v>0.82751601934432983</v>
      </c>
      <c r="Q26" s="61">
        <v>41627</v>
      </c>
      <c r="R26" s="61">
        <v>1980139</v>
      </c>
      <c r="S26" s="61">
        <v>54883</v>
      </c>
      <c r="T26" s="61">
        <v>116500</v>
      </c>
      <c r="U26" s="61">
        <v>444134</v>
      </c>
      <c r="V26" s="61">
        <v>87919</v>
      </c>
    </row>
    <row r="27" spans="1:22">
      <c r="A27" s="61">
        <v>1506</v>
      </c>
      <c r="B27" t="s">
        <v>212</v>
      </c>
      <c r="C27" s="61">
        <v>1.2832170352339745E-2</v>
      </c>
      <c r="D27" s="61">
        <v>9.7655579447746277E-2</v>
      </c>
      <c r="E27" s="61">
        <v>0.3044571578502655</v>
      </c>
      <c r="F27" s="61">
        <v>0.94662308692932129</v>
      </c>
      <c r="G27" s="61">
        <v>5.8377101086080074E-3</v>
      </c>
      <c r="H27" s="61">
        <v>4386505</v>
      </c>
      <c r="I27" s="61">
        <v>2877571</v>
      </c>
      <c r="J27" s="61">
        <v>83607</v>
      </c>
      <c r="K27" s="61">
        <v>-1594975</v>
      </c>
      <c r="L27" s="61">
        <v>0</v>
      </c>
      <c r="M27" s="61">
        <v>3471558</v>
      </c>
      <c r="N27" s="61">
        <v>929731</v>
      </c>
      <c r="O27" s="61">
        <v>20711</v>
      </c>
      <c r="P27" s="61">
        <v>0.90003490447998047</v>
      </c>
      <c r="Q27" s="61">
        <v>162883</v>
      </c>
      <c r="R27" s="61">
        <v>2795400</v>
      </c>
      <c r="S27" s="61">
        <v>62917</v>
      </c>
      <c r="T27" s="61">
        <v>52823</v>
      </c>
      <c r="U27" s="61">
        <v>620660</v>
      </c>
      <c r="V27" s="61">
        <v>290696</v>
      </c>
    </row>
    <row r="28" spans="1:22">
      <c r="A28" s="61">
        <v>1507</v>
      </c>
      <c r="B28" t="s">
        <v>213</v>
      </c>
      <c r="C28" s="61">
        <v>1.9536396488547325E-2</v>
      </c>
      <c r="D28" s="61">
        <v>8.9350640773773193E-2</v>
      </c>
      <c r="E28" s="61">
        <v>0.34502744674682617</v>
      </c>
      <c r="F28" s="61">
        <v>0.96467941999435425</v>
      </c>
      <c r="G28" s="61">
        <v>1.8085045740008354E-2</v>
      </c>
      <c r="H28" s="61">
        <v>7625668</v>
      </c>
      <c r="I28" s="61">
        <v>5458483</v>
      </c>
      <c r="J28" s="61">
        <v>153776</v>
      </c>
      <c r="K28" s="61">
        <v>-623256</v>
      </c>
      <c r="L28" s="61">
        <v>140693</v>
      </c>
      <c r="M28" s="61">
        <v>4402945</v>
      </c>
      <c r="N28" s="61">
        <v>2040405</v>
      </c>
      <c r="O28" s="61">
        <v>0</v>
      </c>
      <c r="P28" s="61">
        <v>0.95297598838806152</v>
      </c>
      <c r="Q28" s="61">
        <v>0</v>
      </c>
      <c r="R28" s="61">
        <v>5573658</v>
      </c>
      <c r="S28" s="61">
        <v>118994</v>
      </c>
      <c r="T28" s="61">
        <v>95196</v>
      </c>
      <c r="U28" s="61">
        <v>621457</v>
      </c>
      <c r="V28" s="61">
        <v>313420</v>
      </c>
    </row>
    <row r="29" spans="1:22">
      <c r="A29" s="61">
        <v>1511</v>
      </c>
      <c r="B29" t="s">
        <v>214</v>
      </c>
      <c r="C29" s="61">
        <v>4.5205522328615189E-2</v>
      </c>
      <c r="D29" s="61">
        <v>0.10826270282268524</v>
      </c>
      <c r="E29" s="61">
        <v>0.40988370776176453</v>
      </c>
      <c r="F29" s="61">
        <v>0.93760877847671509</v>
      </c>
      <c r="G29" s="61">
        <v>2.3595383390784264E-2</v>
      </c>
      <c r="H29" s="61">
        <v>266030</v>
      </c>
      <c r="I29" s="61">
        <v>324014</v>
      </c>
      <c r="J29" s="61">
        <v>3772</v>
      </c>
      <c r="K29" s="61">
        <v>140613</v>
      </c>
      <c r="L29" s="61">
        <v>0</v>
      </c>
      <c r="M29" s="61">
        <v>159657</v>
      </c>
      <c r="N29" s="61">
        <v>82915</v>
      </c>
      <c r="O29" s="61">
        <v>662</v>
      </c>
      <c r="P29" s="61">
        <v>0.82319021224975586</v>
      </c>
      <c r="Q29" s="61">
        <v>25994</v>
      </c>
      <c r="R29" s="61">
        <v>317411</v>
      </c>
      <c r="S29" s="61">
        <v>5135</v>
      </c>
      <c r="T29" s="61">
        <v>11453</v>
      </c>
      <c r="U29" s="61">
        <v>23821</v>
      </c>
      <c r="V29" s="61">
        <v>2830</v>
      </c>
    </row>
    <row r="30" spans="1:22">
      <c r="A30" s="61">
        <v>1514</v>
      </c>
      <c r="B30" t="s">
        <v>215</v>
      </c>
      <c r="C30" s="61">
        <v>3.297792375087738E-2</v>
      </c>
      <c r="D30" s="61">
        <v>0.11725315451622009</v>
      </c>
      <c r="E30" s="61">
        <v>0.42812630534172058</v>
      </c>
      <c r="F30" s="61">
        <v>0.95473259687423706</v>
      </c>
      <c r="G30" s="61">
        <v>6.6233756951987743E-3</v>
      </c>
      <c r="H30" s="61">
        <v>291201</v>
      </c>
      <c r="I30" s="61">
        <v>263381</v>
      </c>
      <c r="J30" s="61">
        <v>783</v>
      </c>
      <c r="K30" s="61">
        <v>140313</v>
      </c>
      <c r="L30" s="61">
        <v>3434</v>
      </c>
      <c r="M30" s="61">
        <v>169392</v>
      </c>
      <c r="N30" s="61">
        <v>73238</v>
      </c>
      <c r="O30" s="61">
        <v>32</v>
      </c>
      <c r="P30" s="61">
        <v>0.92093455791473389</v>
      </c>
      <c r="Q30" s="61">
        <v>0</v>
      </c>
      <c r="R30" s="61">
        <v>251377</v>
      </c>
      <c r="S30" s="61">
        <v>4151</v>
      </c>
      <c r="T30" s="61">
        <v>9251</v>
      </c>
      <c r="U30" s="61">
        <v>17197</v>
      </c>
      <c r="V30" s="61">
        <v>6537</v>
      </c>
    </row>
    <row r="31" spans="1:22">
      <c r="A31" s="61">
        <v>1515</v>
      </c>
      <c r="B31" t="s">
        <v>529</v>
      </c>
      <c r="C31" s="61">
        <v>3.8028188049793243E-2</v>
      </c>
      <c r="D31" s="61">
        <v>0.15246656537055969</v>
      </c>
      <c r="E31" s="61">
        <v>0.30016717314720154</v>
      </c>
      <c r="F31" s="61">
        <v>0.93113386631011963</v>
      </c>
      <c r="G31" s="61">
        <v>1.9396955147385597E-2</v>
      </c>
      <c r="H31" s="61">
        <v>988667</v>
      </c>
      <c r="I31" s="61">
        <v>731996</v>
      </c>
      <c r="J31" s="61">
        <v>9507</v>
      </c>
      <c r="K31" s="61">
        <v>446640</v>
      </c>
      <c r="L31" s="61">
        <v>0</v>
      </c>
      <c r="M31" s="61">
        <v>899926</v>
      </c>
      <c r="N31" s="61">
        <v>308399</v>
      </c>
      <c r="O31" s="61">
        <v>0</v>
      </c>
      <c r="P31" s="61">
        <v>1.0723260641098022</v>
      </c>
      <c r="Q31" s="61">
        <v>51429</v>
      </c>
      <c r="R31" s="61">
        <v>697083</v>
      </c>
      <c r="S31" s="61">
        <v>16086</v>
      </c>
      <c r="T31" s="61">
        <v>32452</v>
      </c>
      <c r="U31" s="61">
        <v>164165</v>
      </c>
      <c r="V31" s="61">
        <v>46726</v>
      </c>
    </row>
    <row r="32" spans="1:22">
      <c r="A32" s="61">
        <v>1516</v>
      </c>
      <c r="B32" t="s">
        <v>216</v>
      </c>
      <c r="C32" s="61">
        <v>3.7688054144382477E-2</v>
      </c>
      <c r="D32" s="61">
        <v>0.15213094651699066</v>
      </c>
      <c r="E32" s="61">
        <v>0.21235162019729614</v>
      </c>
      <c r="F32" s="61">
        <v>0.95172452926635742</v>
      </c>
      <c r="G32" s="61">
        <v>1.2262330390512943E-2</v>
      </c>
      <c r="H32" s="61">
        <v>649297</v>
      </c>
      <c r="I32" s="61">
        <v>725761</v>
      </c>
      <c r="J32" s="61">
        <v>4401</v>
      </c>
      <c r="K32" s="61">
        <v>354927</v>
      </c>
      <c r="L32" s="61">
        <v>0</v>
      </c>
      <c r="M32" s="61">
        <v>1206912</v>
      </c>
      <c r="N32" s="61">
        <v>276618</v>
      </c>
      <c r="O32" s="61">
        <v>34</v>
      </c>
      <c r="P32" s="61">
        <v>0.99874091148376465</v>
      </c>
      <c r="Q32" s="61">
        <v>29602</v>
      </c>
      <c r="R32" s="61">
        <v>698692</v>
      </c>
      <c r="S32" s="61">
        <v>11735</v>
      </c>
      <c r="T32" s="61">
        <v>22867</v>
      </c>
      <c r="U32" s="61">
        <v>76137</v>
      </c>
      <c r="V32" s="61">
        <v>17739</v>
      </c>
    </row>
    <row r="33" spans="1:22">
      <c r="A33" s="61">
        <v>1517</v>
      </c>
      <c r="B33" t="s">
        <v>217</v>
      </c>
      <c r="C33" s="61">
        <v>3.3912032842636108E-2</v>
      </c>
      <c r="D33" s="61">
        <v>0.15266953408718109</v>
      </c>
      <c r="E33" s="61">
        <v>0.2251800149679184</v>
      </c>
      <c r="F33" s="61">
        <v>0.94658887386322021</v>
      </c>
      <c r="G33" s="61">
        <v>1.8273582682013512E-2</v>
      </c>
      <c r="H33" s="61">
        <v>636342</v>
      </c>
      <c r="I33" s="61">
        <v>458041</v>
      </c>
      <c r="J33" s="61">
        <v>3879</v>
      </c>
      <c r="K33" s="61">
        <v>168990</v>
      </c>
      <c r="L33" s="61">
        <v>0</v>
      </c>
      <c r="M33" s="61">
        <v>487616</v>
      </c>
      <c r="N33" s="61">
        <v>129502</v>
      </c>
      <c r="O33" s="61">
        <v>0</v>
      </c>
      <c r="P33" s="61">
        <v>0.77440834045410156</v>
      </c>
      <c r="Q33" s="61">
        <v>4410</v>
      </c>
      <c r="R33" s="61">
        <v>440042</v>
      </c>
      <c r="S33" s="61">
        <v>9236</v>
      </c>
      <c r="T33" s="61">
        <v>17209</v>
      </c>
      <c r="U33" s="61">
        <v>180106</v>
      </c>
      <c r="V33" s="61">
        <v>27207</v>
      </c>
    </row>
    <row r="34" spans="1:22">
      <c r="A34" s="61">
        <v>1520</v>
      </c>
      <c r="B34" t="s">
        <v>218</v>
      </c>
      <c r="C34" s="61">
        <v>3.8486294448375702E-2</v>
      </c>
      <c r="D34" s="61">
        <v>0.14915785193443298</v>
      </c>
      <c r="E34" s="61">
        <v>0.26167440414428711</v>
      </c>
      <c r="F34" s="61">
        <v>0.9432874321937561</v>
      </c>
      <c r="G34" s="61">
        <v>4.0667794644832611E-2</v>
      </c>
      <c r="H34" s="61">
        <v>1109082</v>
      </c>
      <c r="I34" s="61">
        <v>915986</v>
      </c>
      <c r="J34" s="61">
        <v>16984</v>
      </c>
      <c r="K34" s="61">
        <v>397861</v>
      </c>
      <c r="L34" s="61">
        <v>0</v>
      </c>
      <c r="M34" s="61">
        <v>869726</v>
      </c>
      <c r="N34" s="61">
        <v>277419</v>
      </c>
      <c r="O34" s="61">
        <v>220</v>
      </c>
      <c r="P34" s="61">
        <v>0.79307126998901367</v>
      </c>
      <c r="Q34" s="61">
        <v>74907</v>
      </c>
      <c r="R34" s="61">
        <v>877337</v>
      </c>
      <c r="S34" s="61">
        <v>14163</v>
      </c>
      <c r="T34" s="61">
        <v>40122</v>
      </c>
      <c r="U34" s="61">
        <v>159111</v>
      </c>
      <c r="V34" s="61">
        <v>53883</v>
      </c>
    </row>
    <row r="35" spans="1:22">
      <c r="A35" s="61">
        <v>1525</v>
      </c>
      <c r="B35" t="s">
        <v>219</v>
      </c>
      <c r="C35" s="61">
        <v>3.9540920406579971E-2</v>
      </c>
      <c r="D35" s="61">
        <v>0.19492042064666748</v>
      </c>
      <c r="E35" s="61">
        <v>0.28046444058418274</v>
      </c>
      <c r="F35" s="61">
        <v>0.88313066959381104</v>
      </c>
      <c r="G35" s="61">
        <v>2.0844021812081337E-2</v>
      </c>
      <c r="H35" s="61">
        <v>689484</v>
      </c>
      <c r="I35" s="61">
        <v>445322</v>
      </c>
      <c r="J35" s="61">
        <v>4770</v>
      </c>
      <c r="K35" s="61">
        <v>237953</v>
      </c>
      <c r="L35" s="61">
        <v>0</v>
      </c>
      <c r="M35" s="61">
        <v>524165</v>
      </c>
      <c r="N35" s="61">
        <v>129631</v>
      </c>
      <c r="O35" s="61">
        <v>193</v>
      </c>
      <c r="P35" s="61">
        <v>0.88692355155944824</v>
      </c>
      <c r="Q35" s="61">
        <v>8341</v>
      </c>
      <c r="R35" s="61">
        <v>414013</v>
      </c>
      <c r="S35" s="61">
        <v>10082</v>
      </c>
      <c r="T35" s="61">
        <v>26604</v>
      </c>
      <c r="U35" s="61">
        <v>57422</v>
      </c>
      <c r="V35" s="61">
        <v>11371</v>
      </c>
    </row>
    <row r="36" spans="1:22">
      <c r="A36" s="61">
        <v>1528</v>
      </c>
      <c r="B36" t="s">
        <v>220</v>
      </c>
      <c r="C36" s="61">
        <v>3.8608241826295853E-2</v>
      </c>
      <c r="D36" s="61">
        <v>9.4408787786960602E-2</v>
      </c>
      <c r="E36" s="61">
        <v>0.21741686761379242</v>
      </c>
      <c r="F36" s="61">
        <v>0.93082594871520996</v>
      </c>
      <c r="G36" s="61">
        <v>7.1488358080387115E-2</v>
      </c>
      <c r="H36" s="61">
        <v>589221</v>
      </c>
      <c r="I36" s="61">
        <v>574164</v>
      </c>
      <c r="J36" s="61">
        <v>9112</v>
      </c>
      <c r="K36" s="61">
        <v>198136</v>
      </c>
      <c r="L36" s="61">
        <v>0</v>
      </c>
      <c r="M36" s="61">
        <v>430355</v>
      </c>
      <c r="N36" s="61">
        <v>197295</v>
      </c>
      <c r="O36" s="61">
        <v>296</v>
      </c>
      <c r="P36" s="61">
        <v>0.80071902275085449</v>
      </c>
      <c r="Q36" s="61">
        <v>18076</v>
      </c>
      <c r="R36" s="61">
        <v>558302</v>
      </c>
      <c r="S36" s="61">
        <v>7476</v>
      </c>
      <c r="T36" s="61">
        <v>21813</v>
      </c>
      <c r="U36" s="61">
        <v>44574</v>
      </c>
      <c r="V36" s="61">
        <v>6697</v>
      </c>
    </row>
    <row r="37" spans="1:22">
      <c r="A37" s="61">
        <v>1531</v>
      </c>
      <c r="B37" t="s">
        <v>221</v>
      </c>
      <c r="C37" s="61">
        <v>4.1075661778450012E-2</v>
      </c>
      <c r="D37" s="61">
        <v>0.16256104409694672</v>
      </c>
      <c r="E37" s="61">
        <v>0.19758360087871552</v>
      </c>
      <c r="F37" s="61">
        <v>0.93491858243942261</v>
      </c>
      <c r="G37" s="61">
        <v>9.3952715396881104E-3</v>
      </c>
      <c r="H37" s="61">
        <v>1081290</v>
      </c>
      <c r="I37" s="61">
        <v>781354</v>
      </c>
      <c r="J37" s="61">
        <v>3745</v>
      </c>
      <c r="K37" s="61">
        <v>481984</v>
      </c>
      <c r="L37" s="61">
        <v>0</v>
      </c>
      <c r="M37" s="61">
        <v>591717</v>
      </c>
      <c r="N37" s="61">
        <v>236662</v>
      </c>
      <c r="O37" s="61">
        <v>0</v>
      </c>
      <c r="P37" s="61">
        <v>0.78665220737457275</v>
      </c>
      <c r="Q37" s="61">
        <v>99357</v>
      </c>
      <c r="R37" s="61">
        <v>731457</v>
      </c>
      <c r="S37" s="61">
        <v>18894</v>
      </c>
      <c r="T37" s="61">
        <v>41475</v>
      </c>
      <c r="U37" s="61">
        <v>50050</v>
      </c>
      <c r="V37" s="61">
        <v>13303</v>
      </c>
    </row>
    <row r="38" spans="1:22">
      <c r="A38" s="61">
        <v>1532</v>
      </c>
      <c r="B38" t="s">
        <v>222</v>
      </c>
      <c r="C38" s="61">
        <v>3.6609765142202377E-2</v>
      </c>
      <c r="D38" s="61">
        <v>0.20064052939414978</v>
      </c>
      <c r="E38" s="61">
        <v>0.2022012323141098</v>
      </c>
      <c r="F38" s="61">
        <v>0.91465508937835693</v>
      </c>
      <c r="G38" s="61">
        <v>8.0576790496706963E-3</v>
      </c>
      <c r="H38" s="61">
        <v>1049528</v>
      </c>
      <c r="I38" s="61">
        <v>696940</v>
      </c>
      <c r="J38" s="61">
        <v>2205</v>
      </c>
      <c r="K38" s="61">
        <v>322073</v>
      </c>
      <c r="L38" s="61">
        <v>26646</v>
      </c>
      <c r="M38" s="61">
        <v>663120</v>
      </c>
      <c r="N38" s="61">
        <v>242967</v>
      </c>
      <c r="O38" s="61">
        <v>0</v>
      </c>
      <c r="P38" s="61">
        <v>0.88854241371154785</v>
      </c>
      <c r="Q38" s="61">
        <v>17</v>
      </c>
      <c r="R38" s="61">
        <v>644541</v>
      </c>
      <c r="S38" s="61">
        <v>25181</v>
      </c>
      <c r="T38" s="61">
        <v>39084</v>
      </c>
      <c r="U38" s="61">
        <v>35002</v>
      </c>
      <c r="V38" s="61">
        <v>11143</v>
      </c>
    </row>
    <row r="39" spans="1:22">
      <c r="A39" s="61">
        <v>1535</v>
      </c>
      <c r="B39" t="s">
        <v>223</v>
      </c>
      <c r="C39" s="61">
        <v>3.8435399532318115E-2</v>
      </c>
      <c r="D39" s="61">
        <v>0.11369423568248749</v>
      </c>
      <c r="E39" s="61">
        <v>0.32618099451065063</v>
      </c>
      <c r="F39" s="61">
        <v>0.96050596237182617</v>
      </c>
      <c r="G39" s="61">
        <v>3.4603439271450043E-2</v>
      </c>
      <c r="H39" s="61">
        <v>721722</v>
      </c>
      <c r="I39" s="61">
        <v>711006</v>
      </c>
      <c r="J39" s="61">
        <v>4822</v>
      </c>
      <c r="K39" s="61">
        <v>321691</v>
      </c>
      <c r="L39" s="61">
        <v>10451</v>
      </c>
      <c r="M39" s="61">
        <v>609356</v>
      </c>
      <c r="N39" s="61">
        <v>188024</v>
      </c>
      <c r="O39" s="61">
        <v>0</v>
      </c>
      <c r="P39" s="61">
        <v>0.89078116416931152</v>
      </c>
      <c r="Q39" s="61">
        <v>0</v>
      </c>
      <c r="R39" s="61">
        <v>695189</v>
      </c>
      <c r="S39" s="61">
        <v>7977</v>
      </c>
      <c r="T39" s="61">
        <v>27373</v>
      </c>
      <c r="U39" s="61">
        <v>148282</v>
      </c>
      <c r="V39" s="61">
        <v>85000</v>
      </c>
    </row>
    <row r="40" spans="1:22">
      <c r="A40" s="61">
        <v>1539</v>
      </c>
      <c r="B40" t="s">
        <v>224</v>
      </c>
      <c r="C40" s="61">
        <v>3.4819323569536209E-2</v>
      </c>
      <c r="D40" s="61">
        <v>0.16915187239646912</v>
      </c>
      <c r="E40" s="61">
        <v>0.36597838997840881</v>
      </c>
      <c r="F40" s="61">
        <v>0.95023888349533081</v>
      </c>
      <c r="G40" s="61">
        <v>3.9335791021585464E-2</v>
      </c>
      <c r="H40" s="61">
        <v>849162</v>
      </c>
      <c r="I40" s="61">
        <v>690121</v>
      </c>
      <c r="J40" s="61">
        <v>8068</v>
      </c>
      <c r="K40" s="61">
        <v>361255</v>
      </c>
      <c r="L40" s="61">
        <v>39326</v>
      </c>
      <c r="M40" s="61">
        <v>597201</v>
      </c>
      <c r="N40" s="61">
        <v>202342</v>
      </c>
      <c r="O40" s="61">
        <v>5363</v>
      </c>
      <c r="P40" s="61">
        <v>0.8384663462638855</v>
      </c>
      <c r="Q40" s="61">
        <v>0</v>
      </c>
      <c r="R40" s="61">
        <v>699696</v>
      </c>
      <c r="S40" s="61">
        <v>14222</v>
      </c>
      <c r="T40" s="61">
        <v>28550</v>
      </c>
      <c r="U40" s="61">
        <v>90389</v>
      </c>
      <c r="V40" s="61">
        <v>38641</v>
      </c>
    </row>
    <row r="41" spans="1:22">
      <c r="A41" s="61">
        <v>1547</v>
      </c>
      <c r="B41" t="s">
        <v>225</v>
      </c>
      <c r="C41" s="61">
        <v>9.0892024338245392E-2</v>
      </c>
      <c r="D41" s="61">
        <v>0.34025579690933228</v>
      </c>
      <c r="E41" s="61">
        <v>0.24689215421676636</v>
      </c>
      <c r="F41" s="61">
        <v>0.70780324935913086</v>
      </c>
      <c r="G41" s="61">
        <v>1.1382613331079483E-2</v>
      </c>
      <c r="H41" s="61">
        <v>454753</v>
      </c>
      <c r="I41" s="61">
        <v>628627</v>
      </c>
      <c r="J41" s="61">
        <v>7761</v>
      </c>
      <c r="K41" s="61">
        <v>920495</v>
      </c>
      <c r="L41" s="61">
        <v>0</v>
      </c>
      <c r="M41" s="61">
        <v>315141</v>
      </c>
      <c r="N41" s="61">
        <v>99704</v>
      </c>
      <c r="O41" s="61">
        <v>0</v>
      </c>
      <c r="P41" s="61">
        <v>0.87929201126098633</v>
      </c>
      <c r="Q41" s="61">
        <v>751585</v>
      </c>
      <c r="R41" s="61">
        <v>465857</v>
      </c>
      <c r="S41" s="61">
        <v>6290</v>
      </c>
      <c r="T41" s="61">
        <v>35345</v>
      </c>
      <c r="U41" s="61">
        <v>174423</v>
      </c>
      <c r="V41" s="61">
        <v>27340</v>
      </c>
    </row>
    <row r="42" spans="1:22">
      <c r="A42" s="61">
        <v>1554</v>
      </c>
      <c r="B42" t="s">
        <v>226</v>
      </c>
      <c r="C42" s="61">
        <v>3.7990007549524307E-2</v>
      </c>
      <c r="D42" s="61">
        <v>0.12852071225643158</v>
      </c>
      <c r="E42" s="61">
        <v>0.27740979194641113</v>
      </c>
      <c r="F42" s="61">
        <v>0.91310089826583862</v>
      </c>
      <c r="G42" s="61">
        <v>4.4194776564836502E-2</v>
      </c>
      <c r="H42" s="61">
        <v>535606</v>
      </c>
      <c r="I42" s="61">
        <v>480057</v>
      </c>
      <c r="J42" s="61">
        <v>32739</v>
      </c>
      <c r="K42" s="61">
        <v>217419</v>
      </c>
      <c r="L42" s="61">
        <v>0</v>
      </c>
      <c r="M42" s="61">
        <v>359101</v>
      </c>
      <c r="N42" s="61">
        <v>165751</v>
      </c>
      <c r="O42" s="61">
        <v>0</v>
      </c>
      <c r="P42" s="61">
        <v>0.88619959354400635</v>
      </c>
      <c r="Q42" s="61">
        <v>52413</v>
      </c>
      <c r="R42" s="61">
        <v>456196</v>
      </c>
      <c r="S42" s="61">
        <v>8364</v>
      </c>
      <c r="T42" s="61">
        <v>19361</v>
      </c>
      <c r="U42" s="61">
        <v>27890</v>
      </c>
      <c r="V42" s="61">
        <v>7378</v>
      </c>
    </row>
    <row r="43" spans="1:22">
      <c r="A43" s="61">
        <v>1557</v>
      </c>
      <c r="B43" t="s">
        <v>227</v>
      </c>
      <c r="C43" s="61">
        <v>4.2485371232032776E-2</v>
      </c>
      <c r="D43" s="61">
        <v>9.7644813358783722E-2</v>
      </c>
      <c r="E43" s="61">
        <v>0.2239498496055603</v>
      </c>
      <c r="F43" s="61">
        <v>0.93743425607681274</v>
      </c>
      <c r="G43" s="61">
        <v>9.4665186479687691E-3</v>
      </c>
      <c r="H43" s="61">
        <v>240109</v>
      </c>
      <c r="I43" s="61">
        <v>253257</v>
      </c>
      <c r="J43" s="61">
        <v>922</v>
      </c>
      <c r="K43" s="61">
        <v>113905</v>
      </c>
      <c r="L43" s="61">
        <v>0</v>
      </c>
      <c r="M43" s="61">
        <v>185149</v>
      </c>
      <c r="N43" s="61">
        <v>63074</v>
      </c>
      <c r="O43" s="61">
        <v>82</v>
      </c>
      <c r="P43" s="61">
        <v>0.74244397878646851</v>
      </c>
      <c r="Q43" s="61">
        <v>25644</v>
      </c>
      <c r="R43" s="61">
        <v>248450</v>
      </c>
      <c r="S43" s="61">
        <v>3820</v>
      </c>
      <c r="T43" s="61">
        <v>8837</v>
      </c>
      <c r="U43" s="61">
        <v>50734</v>
      </c>
      <c r="V43" s="61">
        <v>8399</v>
      </c>
    </row>
    <row r="44" spans="1:22">
      <c r="A44" s="61">
        <v>1560</v>
      </c>
      <c r="B44" t="s">
        <v>228</v>
      </c>
      <c r="C44" s="61">
        <v>5.2719499915838242E-2</v>
      </c>
      <c r="D44" s="61">
        <v>0.12142478674650192</v>
      </c>
      <c r="E44" s="61">
        <v>0.21169289946556091</v>
      </c>
      <c r="F44" s="61">
        <v>0.91245037317276001</v>
      </c>
      <c r="G44" s="61">
        <v>1.1069156229496002E-2</v>
      </c>
      <c r="H44" s="61">
        <v>327469</v>
      </c>
      <c r="I44" s="61">
        <v>329031</v>
      </c>
      <c r="J44" s="61">
        <v>1182</v>
      </c>
      <c r="K44" s="61">
        <v>113741</v>
      </c>
      <c r="L44" s="61">
        <v>0</v>
      </c>
      <c r="M44" s="61">
        <v>283885</v>
      </c>
      <c r="N44" s="61">
        <v>75472</v>
      </c>
      <c r="O44" s="61">
        <v>0</v>
      </c>
      <c r="P44" s="61">
        <v>0.77208369970321655</v>
      </c>
      <c r="Q44" s="61">
        <v>41538</v>
      </c>
      <c r="R44" s="61">
        <v>300060</v>
      </c>
      <c r="S44" s="61">
        <v>5370</v>
      </c>
      <c r="T44" s="61">
        <v>16474</v>
      </c>
      <c r="U44" s="61">
        <v>32013</v>
      </c>
      <c r="V44" s="61">
        <v>7581</v>
      </c>
    </row>
    <row r="45" spans="1:22">
      <c r="A45" s="61">
        <v>1563</v>
      </c>
      <c r="B45" t="s">
        <v>229</v>
      </c>
      <c r="C45" s="61">
        <v>4.2464770376682281E-2</v>
      </c>
      <c r="D45" s="61">
        <v>0.10734765231609344</v>
      </c>
      <c r="E45" s="61">
        <v>0.21227514743804932</v>
      </c>
      <c r="F45" s="61">
        <v>0.95912063121795654</v>
      </c>
      <c r="G45" s="61">
        <v>2.5157513096928596E-2</v>
      </c>
      <c r="H45" s="61">
        <v>621566</v>
      </c>
      <c r="I45" s="61">
        <v>752955</v>
      </c>
      <c r="J45" s="61">
        <v>12489</v>
      </c>
      <c r="K45" s="61">
        <v>556313</v>
      </c>
      <c r="L45" s="61">
        <v>0</v>
      </c>
      <c r="M45" s="61">
        <v>395763</v>
      </c>
      <c r="N45" s="61">
        <v>190858</v>
      </c>
      <c r="O45" s="61">
        <v>17272</v>
      </c>
      <c r="P45" s="61">
        <v>0.83943766355514526</v>
      </c>
      <c r="Q45" s="61">
        <v>126643</v>
      </c>
      <c r="R45" s="61">
        <v>736831</v>
      </c>
      <c r="S45" s="61">
        <v>6435</v>
      </c>
      <c r="T45" s="61">
        <v>25198</v>
      </c>
      <c r="U45" s="61">
        <v>191067</v>
      </c>
      <c r="V45" s="61">
        <v>5404</v>
      </c>
    </row>
    <row r="46" spans="1:22">
      <c r="A46" s="61">
        <v>1566</v>
      </c>
      <c r="B46" t="s">
        <v>230</v>
      </c>
      <c r="C46" s="61">
        <v>4.1827715933322906E-2</v>
      </c>
      <c r="D46" s="61">
        <v>9.9928960204124451E-2</v>
      </c>
      <c r="E46" s="61">
        <v>0.23477596044540405</v>
      </c>
      <c r="F46" s="61">
        <v>0.96040797233581543</v>
      </c>
      <c r="G46" s="61">
        <v>2.505086176097393E-2</v>
      </c>
      <c r="H46" s="61">
        <v>543479</v>
      </c>
      <c r="I46" s="61">
        <v>604595</v>
      </c>
      <c r="J46" s="61">
        <v>5948</v>
      </c>
      <c r="K46" s="61">
        <v>232093</v>
      </c>
      <c r="L46" s="61">
        <v>0</v>
      </c>
      <c r="M46" s="61">
        <v>373572</v>
      </c>
      <c r="N46" s="61">
        <v>132747</v>
      </c>
      <c r="O46" s="61">
        <v>12914</v>
      </c>
      <c r="P46" s="61">
        <v>0.69391602277755737</v>
      </c>
      <c r="Q46" s="61">
        <v>12886</v>
      </c>
      <c r="R46" s="61">
        <v>575654</v>
      </c>
      <c r="S46" s="61">
        <v>8319</v>
      </c>
      <c r="T46" s="61">
        <v>18743</v>
      </c>
      <c r="U46" s="61">
        <v>99985</v>
      </c>
      <c r="V46" s="61">
        <v>16462</v>
      </c>
    </row>
    <row r="47" spans="1:22">
      <c r="A47" s="61">
        <v>1573</v>
      </c>
      <c r="B47" t="s">
        <v>231</v>
      </c>
      <c r="C47" s="61">
        <v>5.2970092743635178E-2</v>
      </c>
      <c r="D47" s="61">
        <v>0.1800595223903656</v>
      </c>
      <c r="E47" s="61">
        <v>0.3493516743183136</v>
      </c>
      <c r="F47" s="61">
        <v>0.89259570837020874</v>
      </c>
      <c r="G47" s="61">
        <v>1.6498243436217308E-2</v>
      </c>
      <c r="H47" s="61">
        <v>281694</v>
      </c>
      <c r="I47" s="61">
        <v>283038</v>
      </c>
      <c r="J47" s="61">
        <v>1308</v>
      </c>
      <c r="K47" s="61">
        <v>136640</v>
      </c>
      <c r="L47" s="61">
        <v>0</v>
      </c>
      <c r="M47" s="61">
        <v>198306</v>
      </c>
      <c r="N47" s="61">
        <v>57258</v>
      </c>
      <c r="O47" s="61">
        <v>0</v>
      </c>
      <c r="P47" s="61">
        <v>0.82414120435714722</v>
      </c>
      <c r="Q47" s="61">
        <v>50950</v>
      </c>
      <c r="R47" s="61">
        <v>240157</v>
      </c>
      <c r="S47" s="61">
        <v>4969</v>
      </c>
      <c r="T47" s="61">
        <v>13696</v>
      </c>
      <c r="U47" s="61">
        <v>39685</v>
      </c>
      <c r="V47" s="61">
        <v>6101</v>
      </c>
    </row>
    <row r="48" spans="1:22">
      <c r="A48" s="61">
        <v>1576</v>
      </c>
      <c r="B48" t="s">
        <v>232</v>
      </c>
      <c r="C48" s="61">
        <v>6.3972294330596924E-2</v>
      </c>
      <c r="D48" s="61">
        <v>0.13766427338123322</v>
      </c>
      <c r="E48" s="61">
        <v>0.30343258380889893</v>
      </c>
      <c r="F48" s="61">
        <v>0.92291015386581421</v>
      </c>
      <c r="G48" s="61">
        <v>1.3663318008184433E-2</v>
      </c>
      <c r="H48" s="61">
        <v>367334</v>
      </c>
      <c r="I48" s="61">
        <v>410212</v>
      </c>
      <c r="J48" s="61">
        <v>2496</v>
      </c>
      <c r="K48" s="61">
        <v>196880</v>
      </c>
      <c r="L48" s="61">
        <v>0</v>
      </c>
      <c r="M48" s="61">
        <v>242434</v>
      </c>
      <c r="N48" s="61">
        <v>95169</v>
      </c>
      <c r="O48" s="61">
        <v>0</v>
      </c>
      <c r="P48" s="61">
        <v>0.83977633714675903</v>
      </c>
      <c r="Q48" s="61">
        <v>57619</v>
      </c>
      <c r="R48" s="61">
        <v>368503</v>
      </c>
      <c r="S48" s="61">
        <v>4848</v>
      </c>
      <c r="T48" s="61">
        <v>19933</v>
      </c>
      <c r="U48" s="61">
        <v>85281</v>
      </c>
      <c r="V48" s="61">
        <v>14425</v>
      </c>
    </row>
    <row r="49" spans="1:22">
      <c r="A49" s="61">
        <v>1577</v>
      </c>
      <c r="B49" t="s">
        <v>233</v>
      </c>
      <c r="C49" s="61">
        <v>3.1047085300087929E-2</v>
      </c>
      <c r="D49" s="61">
        <v>0.16539013385772705</v>
      </c>
      <c r="E49" s="61">
        <v>0.25624731183052063</v>
      </c>
      <c r="F49" s="61">
        <v>0.93800562620162964</v>
      </c>
      <c r="G49" s="61">
        <v>1.6697634011507034E-2</v>
      </c>
      <c r="H49" s="61">
        <v>1460490</v>
      </c>
      <c r="I49" s="61">
        <v>1044348</v>
      </c>
      <c r="J49" s="61">
        <v>9852</v>
      </c>
      <c r="K49" s="61">
        <v>571601</v>
      </c>
      <c r="L49" s="61">
        <v>0</v>
      </c>
      <c r="M49" s="61">
        <v>1159800</v>
      </c>
      <c r="N49" s="61">
        <v>252064</v>
      </c>
      <c r="O49" s="61">
        <v>2618</v>
      </c>
      <c r="P49" s="61">
        <v>0.74480676651000977</v>
      </c>
      <c r="Q49" s="61">
        <v>58530</v>
      </c>
      <c r="R49" s="61">
        <v>960239</v>
      </c>
      <c r="S49" s="61">
        <v>26543</v>
      </c>
      <c r="T49" s="61">
        <v>46595</v>
      </c>
      <c r="U49" s="61">
        <v>216031</v>
      </c>
      <c r="V49" s="61">
        <v>48211</v>
      </c>
    </row>
    <row r="50" spans="1:22">
      <c r="A50" s="61">
        <v>1578</v>
      </c>
      <c r="B50" t="s">
        <v>234</v>
      </c>
      <c r="C50" s="61">
        <v>4.2786724865436554E-2</v>
      </c>
      <c r="D50" s="61">
        <v>0.12346713989973068</v>
      </c>
      <c r="E50" s="61">
        <v>0.27942898869514465</v>
      </c>
      <c r="F50" s="61">
        <v>0.93100261688232422</v>
      </c>
      <c r="G50" s="61">
        <v>2.8123276308178902E-2</v>
      </c>
      <c r="H50" s="61">
        <v>424972</v>
      </c>
      <c r="I50" s="61">
        <v>335125</v>
      </c>
      <c r="J50" s="61">
        <v>3619</v>
      </c>
      <c r="K50" s="61">
        <v>189157</v>
      </c>
      <c r="L50" s="61">
        <v>0</v>
      </c>
      <c r="M50" s="61">
        <v>300706</v>
      </c>
      <c r="N50" s="61">
        <v>68695</v>
      </c>
      <c r="O50" s="61">
        <v>3427</v>
      </c>
      <c r="P50" s="61">
        <v>0.83398681879043579</v>
      </c>
      <c r="Q50" s="61">
        <v>2664</v>
      </c>
      <c r="R50" s="61">
        <v>313007</v>
      </c>
      <c r="S50" s="61">
        <v>6821</v>
      </c>
      <c r="T50" s="61">
        <v>17647</v>
      </c>
      <c r="U50" s="61">
        <v>22101</v>
      </c>
      <c r="V50" s="61">
        <v>11623</v>
      </c>
    </row>
    <row r="51" spans="1:22">
      <c r="A51" s="61">
        <v>1579</v>
      </c>
      <c r="B51" t="s">
        <v>235</v>
      </c>
      <c r="C51" s="61">
        <v>3.5315975546836853E-2</v>
      </c>
      <c r="D51" s="61">
        <v>0.13011696934700012</v>
      </c>
      <c r="E51" s="61">
        <v>0.23736235499382019</v>
      </c>
      <c r="F51" s="61">
        <v>0.95384728908538818</v>
      </c>
      <c r="G51" s="61">
        <v>7.170394528657198E-3</v>
      </c>
      <c r="H51" s="61">
        <v>1278873</v>
      </c>
      <c r="I51" s="61">
        <v>1187528</v>
      </c>
      <c r="J51" s="61">
        <v>3446</v>
      </c>
      <c r="K51" s="61">
        <v>533229</v>
      </c>
      <c r="L51" s="61">
        <v>0</v>
      </c>
      <c r="M51" s="61">
        <v>800602</v>
      </c>
      <c r="N51" s="61">
        <v>340429</v>
      </c>
      <c r="O51" s="61">
        <v>0</v>
      </c>
      <c r="P51" s="61">
        <v>0.7933504581451416</v>
      </c>
      <c r="Q51" s="61">
        <v>38970</v>
      </c>
      <c r="R51" s="61">
        <v>1131255</v>
      </c>
      <c r="S51" s="61">
        <v>20121</v>
      </c>
      <c r="T51" s="61">
        <v>42673</v>
      </c>
      <c r="U51" s="61">
        <v>190603</v>
      </c>
      <c r="V51" s="61">
        <v>86076</v>
      </c>
    </row>
    <row r="52" spans="1:22">
      <c r="A52" s="61">
        <v>1804</v>
      </c>
      <c r="B52" t="s">
        <v>236</v>
      </c>
      <c r="C52" s="61">
        <v>3.0346190556883812E-2</v>
      </c>
      <c r="D52" s="61">
        <v>0.20432630181312561</v>
      </c>
      <c r="E52" s="61">
        <v>0.30110329389572144</v>
      </c>
      <c r="F52" s="61">
        <v>0.92185419797897339</v>
      </c>
      <c r="G52" s="61">
        <v>2.68718171864748E-2</v>
      </c>
      <c r="H52" s="61">
        <v>6903559</v>
      </c>
      <c r="I52" s="61">
        <v>4354179</v>
      </c>
      <c r="J52" s="61">
        <v>69440</v>
      </c>
      <c r="K52" s="61">
        <v>2958223</v>
      </c>
      <c r="L52" s="61">
        <v>0</v>
      </c>
      <c r="M52" s="61">
        <v>3932956</v>
      </c>
      <c r="N52" s="61">
        <v>1589150</v>
      </c>
      <c r="O52" s="61">
        <v>239</v>
      </c>
      <c r="P52" s="61">
        <v>0.9392777681350708</v>
      </c>
      <c r="Q52" s="61">
        <v>131030</v>
      </c>
      <c r="R52" s="61">
        <v>4178202</v>
      </c>
      <c r="S52" s="61">
        <v>123572</v>
      </c>
      <c r="T52" s="61">
        <v>184941</v>
      </c>
      <c r="U52" s="61">
        <v>952105</v>
      </c>
      <c r="V52" s="61">
        <v>280258</v>
      </c>
    </row>
    <row r="53" spans="1:22">
      <c r="A53" s="61">
        <v>1806</v>
      </c>
      <c r="B53" t="s">
        <v>237</v>
      </c>
      <c r="C53" s="61">
        <v>3.0304422602057457E-2</v>
      </c>
      <c r="D53" s="61">
        <v>0.11549551039934158</v>
      </c>
      <c r="E53" s="61">
        <v>0.24525932967662811</v>
      </c>
      <c r="F53" s="61">
        <v>0.95246034860610962</v>
      </c>
      <c r="G53" s="61">
        <v>2.4100802838802338E-2</v>
      </c>
      <c r="H53" s="61">
        <v>2588292</v>
      </c>
      <c r="I53" s="61">
        <v>2091659</v>
      </c>
      <c r="J53" s="61">
        <v>25616</v>
      </c>
      <c r="K53" s="61">
        <v>946975</v>
      </c>
      <c r="L53" s="61">
        <v>0</v>
      </c>
      <c r="M53" s="61">
        <v>1473992</v>
      </c>
      <c r="N53" s="61">
        <v>575575</v>
      </c>
      <c r="O53" s="61">
        <v>30424</v>
      </c>
      <c r="P53" s="61">
        <v>0.81536823511123657</v>
      </c>
      <c r="Q53" s="61">
        <v>0</v>
      </c>
      <c r="R53" s="61">
        <v>2064773</v>
      </c>
      <c r="S53" s="61">
        <v>38369</v>
      </c>
      <c r="T53" s="61">
        <v>72519</v>
      </c>
      <c r="U53" s="61">
        <v>378977</v>
      </c>
      <c r="V53" s="61">
        <v>99463</v>
      </c>
    </row>
    <row r="54" spans="1:22">
      <c r="A54" s="61">
        <v>1811</v>
      </c>
      <c r="B54" t="s">
        <v>238</v>
      </c>
      <c r="C54" s="61">
        <v>3.632904589176178E-2</v>
      </c>
      <c r="D54" s="61">
        <v>0.16133274137973785</v>
      </c>
      <c r="E54" s="61">
        <v>0.35481661558151245</v>
      </c>
      <c r="F54" s="61">
        <v>0.88297498226165771</v>
      </c>
      <c r="G54" s="61">
        <v>7.8264893963932991E-3</v>
      </c>
      <c r="H54" s="61">
        <v>224208</v>
      </c>
      <c r="I54" s="61">
        <v>213928</v>
      </c>
      <c r="J54" s="61">
        <v>1026</v>
      </c>
      <c r="K54" s="61">
        <v>191469</v>
      </c>
      <c r="L54" s="61">
        <v>0</v>
      </c>
      <c r="M54" s="61">
        <v>173208</v>
      </c>
      <c r="N54" s="61">
        <v>38311</v>
      </c>
      <c r="O54" s="61">
        <v>2970</v>
      </c>
      <c r="P54" s="61">
        <v>0.83139586448669434</v>
      </c>
      <c r="Q54" s="61">
        <v>85528</v>
      </c>
      <c r="R54" s="61">
        <v>184063</v>
      </c>
      <c r="S54" s="61">
        <v>3955</v>
      </c>
      <c r="T54" s="61">
        <v>6760</v>
      </c>
      <c r="U54" s="61">
        <v>101214</v>
      </c>
      <c r="V54" s="61">
        <v>32255</v>
      </c>
    </row>
    <row r="55" spans="1:22">
      <c r="A55" s="61">
        <v>1812</v>
      </c>
      <c r="B55" t="s">
        <v>239</v>
      </c>
      <c r="C55" s="61">
        <v>5.2384495735168457E-2</v>
      </c>
      <c r="D55" s="61">
        <v>0.12651772797107697</v>
      </c>
      <c r="E55" s="61">
        <v>0.3550046980381012</v>
      </c>
      <c r="F55" s="61">
        <v>0.93382388353347778</v>
      </c>
      <c r="G55" s="61">
        <v>2.9852356761693954E-2</v>
      </c>
      <c r="H55" s="61">
        <v>178122</v>
      </c>
      <c r="I55" s="61">
        <v>232724</v>
      </c>
      <c r="J55" s="61">
        <v>3663</v>
      </c>
      <c r="K55" s="61">
        <v>108804</v>
      </c>
      <c r="L55" s="61">
        <v>0</v>
      </c>
      <c r="M55" s="61">
        <v>110266</v>
      </c>
      <c r="N55" s="61">
        <v>45952</v>
      </c>
      <c r="O55" s="61">
        <v>0</v>
      </c>
      <c r="P55" s="61">
        <v>0.72001445293426514</v>
      </c>
      <c r="Q55" s="61">
        <v>36305</v>
      </c>
      <c r="R55" s="61">
        <v>226492</v>
      </c>
      <c r="S55" s="61">
        <v>2684</v>
      </c>
      <c r="T55" s="61">
        <v>8804</v>
      </c>
      <c r="U55" s="61">
        <v>36638</v>
      </c>
      <c r="V55" s="61">
        <v>9968</v>
      </c>
    </row>
    <row r="56" spans="1:22">
      <c r="A56" s="61">
        <v>1813</v>
      </c>
      <c r="B56" t="s">
        <v>530</v>
      </c>
      <c r="C56" s="61">
        <v>3.4633778035640717E-2</v>
      </c>
      <c r="D56" s="61">
        <v>0.13223697245121002</v>
      </c>
      <c r="E56" s="61">
        <v>0.29257279634475708</v>
      </c>
      <c r="F56" s="61">
        <v>0.90572744607925415</v>
      </c>
      <c r="G56" s="61">
        <v>2.8904091566801071E-2</v>
      </c>
      <c r="H56" s="61">
        <v>1048766</v>
      </c>
      <c r="I56" s="61">
        <v>775026</v>
      </c>
      <c r="J56" s="61">
        <v>13080</v>
      </c>
      <c r="K56" s="61">
        <v>519705</v>
      </c>
      <c r="L56" s="61">
        <v>0</v>
      </c>
      <c r="M56" s="61">
        <v>593059</v>
      </c>
      <c r="N56" s="61">
        <v>197752</v>
      </c>
      <c r="O56" s="61">
        <v>398</v>
      </c>
      <c r="P56" s="61">
        <v>0.7729727029800415</v>
      </c>
      <c r="Q56" s="61">
        <v>60513</v>
      </c>
      <c r="R56" s="61">
        <v>727765</v>
      </c>
      <c r="S56" s="61">
        <v>20651</v>
      </c>
      <c r="T56" s="61">
        <v>31893</v>
      </c>
      <c r="U56" s="61">
        <v>155909</v>
      </c>
      <c r="V56" s="61">
        <v>30485</v>
      </c>
    </row>
    <row r="57" spans="1:22">
      <c r="A57" s="61">
        <v>1815</v>
      </c>
      <c r="B57" t="s">
        <v>240</v>
      </c>
      <c r="C57" s="61">
        <v>3.276810422539711E-2</v>
      </c>
      <c r="D57" s="61">
        <v>0.19298632442951202</v>
      </c>
      <c r="E57" s="61">
        <v>0.38587614893913269</v>
      </c>
      <c r="F57" s="61">
        <v>0.92747682332992554</v>
      </c>
      <c r="G57" s="61">
        <v>3.5250689834356308E-2</v>
      </c>
      <c r="H57" s="61">
        <v>200880</v>
      </c>
      <c r="I57" s="61">
        <v>134175</v>
      </c>
      <c r="J57" s="61">
        <v>2674</v>
      </c>
      <c r="K57" s="61">
        <v>70420</v>
      </c>
      <c r="L57" s="61">
        <v>0</v>
      </c>
      <c r="M57" s="61">
        <v>163411</v>
      </c>
      <c r="N57" s="61">
        <v>27180</v>
      </c>
      <c r="O57" s="61">
        <v>0</v>
      </c>
      <c r="P57" s="61">
        <v>0.70092588663101196</v>
      </c>
      <c r="Q57" s="61">
        <v>15777</v>
      </c>
      <c r="R57" s="61">
        <v>123368</v>
      </c>
      <c r="S57" s="61">
        <v>2868</v>
      </c>
      <c r="T57" s="61">
        <v>6779</v>
      </c>
      <c r="U57" s="61">
        <v>25769</v>
      </c>
      <c r="V57" s="61">
        <v>18776</v>
      </c>
    </row>
    <row r="58" spans="1:22">
      <c r="A58" s="61">
        <v>1816</v>
      </c>
      <c r="B58" t="s">
        <v>241</v>
      </c>
      <c r="C58" s="61">
        <v>3.2228872179985046E-2</v>
      </c>
      <c r="D58" s="61">
        <v>0.10147257894277573</v>
      </c>
      <c r="E58" s="61">
        <v>0.26384958624839783</v>
      </c>
      <c r="F58" s="61">
        <v>0.89327418804168701</v>
      </c>
      <c r="G58" s="61">
        <v>2.1675741299986839E-2</v>
      </c>
      <c r="H58" s="61">
        <v>58599</v>
      </c>
      <c r="I58" s="61">
        <v>77094</v>
      </c>
      <c r="J58" s="61">
        <v>1555</v>
      </c>
      <c r="K58" s="61">
        <v>73289</v>
      </c>
      <c r="L58" s="61">
        <v>0</v>
      </c>
      <c r="M58" s="61">
        <v>37748</v>
      </c>
      <c r="N58" s="61">
        <v>12398</v>
      </c>
      <c r="O58" s="61">
        <v>0</v>
      </c>
      <c r="P58" s="61">
        <v>0.83045011758804321</v>
      </c>
      <c r="Q58" s="61">
        <v>28106</v>
      </c>
      <c r="R58" s="61">
        <v>74051</v>
      </c>
      <c r="S58" s="61">
        <v>908</v>
      </c>
      <c r="T58" s="61">
        <v>1852</v>
      </c>
      <c r="U58" s="61">
        <v>6480</v>
      </c>
      <c r="V58" s="61">
        <v>1138</v>
      </c>
    </row>
    <row r="59" spans="1:22">
      <c r="A59" s="61">
        <v>1818</v>
      </c>
      <c r="B59" t="s">
        <v>242</v>
      </c>
      <c r="C59" s="61">
        <v>4.9569301307201385E-2</v>
      </c>
      <c r="D59" s="61">
        <v>0.20588068664073944</v>
      </c>
      <c r="E59" s="61">
        <v>0.35769924521446228</v>
      </c>
      <c r="F59" s="61">
        <v>0.84956592321395874</v>
      </c>
      <c r="G59" s="61">
        <v>2.5004977360367775E-2</v>
      </c>
      <c r="H59" s="61">
        <v>292800</v>
      </c>
      <c r="I59" s="61">
        <v>216522</v>
      </c>
      <c r="J59" s="61">
        <v>4535</v>
      </c>
      <c r="K59" s="61">
        <v>196889</v>
      </c>
      <c r="L59" s="61">
        <v>0</v>
      </c>
      <c r="M59" s="61">
        <v>186341</v>
      </c>
      <c r="N59" s="61">
        <v>50022</v>
      </c>
      <c r="O59" s="61">
        <v>0</v>
      </c>
      <c r="P59" s="61">
        <v>0.87111908197402954</v>
      </c>
      <c r="Q59" s="61">
        <v>101486</v>
      </c>
      <c r="R59" s="61">
        <v>177960</v>
      </c>
      <c r="S59" s="61">
        <v>3884</v>
      </c>
      <c r="T59" s="61">
        <v>13316</v>
      </c>
      <c r="U59" s="61">
        <v>31027</v>
      </c>
      <c r="V59" s="61">
        <v>8047</v>
      </c>
    </row>
    <row r="60" spans="1:22">
      <c r="A60" s="61">
        <v>1820</v>
      </c>
      <c r="B60" t="s">
        <v>243</v>
      </c>
      <c r="C60" s="61">
        <v>3.3262424170970917E-2</v>
      </c>
      <c r="D60" s="61">
        <v>0.15254667401313782</v>
      </c>
      <c r="E60" s="61">
        <v>0.29246634244918823</v>
      </c>
      <c r="F60" s="61">
        <v>0.93062722682952881</v>
      </c>
      <c r="G60" s="61">
        <v>3.5102620720863342E-2</v>
      </c>
      <c r="H60" s="61">
        <v>968397</v>
      </c>
      <c r="I60" s="61">
        <v>748941</v>
      </c>
      <c r="J60" s="61">
        <v>12078</v>
      </c>
      <c r="K60" s="61">
        <v>311978</v>
      </c>
      <c r="L60" s="61">
        <v>0</v>
      </c>
      <c r="M60" s="61">
        <v>672442</v>
      </c>
      <c r="N60" s="61">
        <v>192056</v>
      </c>
      <c r="O60" s="61">
        <v>0</v>
      </c>
      <c r="P60" s="61">
        <v>0.79808735847473145</v>
      </c>
      <c r="Q60" s="61">
        <v>48679</v>
      </c>
      <c r="R60" s="61">
        <v>692879</v>
      </c>
      <c r="S60" s="61">
        <v>15961</v>
      </c>
      <c r="T60" s="61">
        <v>30397</v>
      </c>
      <c r="U60" s="61">
        <v>72611</v>
      </c>
      <c r="V60" s="61">
        <v>24004</v>
      </c>
    </row>
    <row r="61" spans="1:22">
      <c r="A61" s="61">
        <v>1822</v>
      </c>
      <c r="B61" t="s">
        <v>244</v>
      </c>
      <c r="C61" s="61">
        <v>4.2375952005386353E-2</v>
      </c>
      <c r="D61" s="61">
        <v>0.12470326572656631</v>
      </c>
      <c r="E61" s="61">
        <v>0.31102660298347473</v>
      </c>
      <c r="F61" s="61">
        <v>0.9519086480140686</v>
      </c>
      <c r="G61" s="61">
        <v>2.8757935389876366E-2</v>
      </c>
      <c r="H61" s="61">
        <v>219209</v>
      </c>
      <c r="I61" s="61">
        <v>291144</v>
      </c>
      <c r="J61" s="61">
        <v>3747</v>
      </c>
      <c r="K61" s="61">
        <v>105044</v>
      </c>
      <c r="L61" s="61">
        <v>0</v>
      </c>
      <c r="M61" s="61">
        <v>138232</v>
      </c>
      <c r="N61" s="61">
        <v>50228</v>
      </c>
      <c r="O61" s="61">
        <v>0</v>
      </c>
      <c r="P61" s="61">
        <v>0.67757344245910645</v>
      </c>
      <c r="Q61" s="61">
        <v>18531</v>
      </c>
      <c r="R61" s="61">
        <v>281472</v>
      </c>
      <c r="S61" s="61">
        <v>2785</v>
      </c>
      <c r="T61" s="61">
        <v>8892</v>
      </c>
      <c r="U61" s="61">
        <v>28057</v>
      </c>
      <c r="V61" s="61">
        <v>4915</v>
      </c>
    </row>
    <row r="62" spans="1:22">
      <c r="A62" s="61">
        <v>1824</v>
      </c>
      <c r="B62" t="s">
        <v>245</v>
      </c>
      <c r="C62" s="61">
        <v>4.027765616774559E-2</v>
      </c>
      <c r="D62" s="61">
        <v>0.14859215915203094</v>
      </c>
      <c r="E62" s="61">
        <v>0.23757746815681458</v>
      </c>
      <c r="F62" s="61">
        <v>0.92396843433380127</v>
      </c>
      <c r="G62" s="61">
        <v>2.9705904424190521E-2</v>
      </c>
      <c r="H62" s="61">
        <v>1398059</v>
      </c>
      <c r="I62" s="61">
        <v>1270012</v>
      </c>
      <c r="J62" s="61">
        <v>19962</v>
      </c>
      <c r="K62" s="61">
        <v>670178</v>
      </c>
      <c r="L62" s="61">
        <v>0</v>
      </c>
      <c r="M62" s="61">
        <v>791519</v>
      </c>
      <c r="N62" s="61">
        <v>343802</v>
      </c>
      <c r="O62" s="61">
        <v>3505</v>
      </c>
      <c r="P62" s="61">
        <v>0.80127137899398804</v>
      </c>
      <c r="Q62" s="61">
        <v>145963</v>
      </c>
      <c r="R62" s="61">
        <v>1212922</v>
      </c>
      <c r="S62" s="61">
        <v>21309</v>
      </c>
      <c r="T62" s="61">
        <v>53000</v>
      </c>
      <c r="U62" s="61">
        <v>102817</v>
      </c>
      <c r="V62" s="61">
        <v>30527</v>
      </c>
    </row>
    <row r="63" spans="1:22">
      <c r="A63" s="61">
        <v>1825</v>
      </c>
      <c r="B63" t="s">
        <v>246</v>
      </c>
      <c r="C63" s="61">
        <v>5.3215831518173218E-2</v>
      </c>
      <c r="D63" s="61">
        <v>0.19160245358943939</v>
      </c>
      <c r="E63" s="61">
        <v>0.39034312963485718</v>
      </c>
      <c r="F63" s="61">
        <v>0.92471992969512939</v>
      </c>
      <c r="G63" s="61">
        <v>2.3266706615686417E-2</v>
      </c>
      <c r="H63" s="61">
        <v>170479</v>
      </c>
      <c r="I63" s="61">
        <v>185115</v>
      </c>
      <c r="J63" s="61">
        <v>3384</v>
      </c>
      <c r="K63" s="61">
        <v>137680</v>
      </c>
      <c r="L63" s="61">
        <v>0</v>
      </c>
      <c r="M63" s="61">
        <v>91337</v>
      </c>
      <c r="N63" s="61">
        <v>34842</v>
      </c>
      <c r="O63" s="61">
        <v>944</v>
      </c>
      <c r="P63" s="61">
        <v>0.7275431752204895</v>
      </c>
      <c r="Q63" s="61">
        <v>24672</v>
      </c>
      <c r="R63" s="61">
        <v>181065</v>
      </c>
      <c r="S63" s="61">
        <v>3195</v>
      </c>
      <c r="T63" s="61">
        <v>7838</v>
      </c>
      <c r="U63" s="61">
        <v>138950</v>
      </c>
      <c r="V63" s="61">
        <v>85867</v>
      </c>
    </row>
    <row r="64" spans="1:22">
      <c r="A64" s="61">
        <v>1826</v>
      </c>
      <c r="B64" t="s">
        <v>247</v>
      </c>
      <c r="C64" s="61">
        <v>5.2660271525382996E-2</v>
      </c>
      <c r="D64" s="61">
        <v>0.10575293004512787</v>
      </c>
      <c r="E64" s="61">
        <v>0.41602376103401184</v>
      </c>
      <c r="F64" s="61">
        <v>0.92530888319015503</v>
      </c>
      <c r="G64" s="61">
        <v>1.8508316949009895E-2</v>
      </c>
      <c r="H64" s="61">
        <v>81147</v>
      </c>
      <c r="I64" s="61">
        <v>201579</v>
      </c>
      <c r="J64" s="61">
        <v>3088</v>
      </c>
      <c r="K64" s="61">
        <v>161445</v>
      </c>
      <c r="L64" s="61">
        <v>408</v>
      </c>
      <c r="M64" s="61">
        <v>47405</v>
      </c>
      <c r="N64" s="61">
        <v>26817</v>
      </c>
      <c r="O64" s="61">
        <v>13099</v>
      </c>
      <c r="P64" s="61">
        <v>0.63984405994415283</v>
      </c>
      <c r="Q64" s="61">
        <v>51202</v>
      </c>
      <c r="R64" s="61">
        <v>184897</v>
      </c>
      <c r="S64" s="61">
        <v>1502</v>
      </c>
      <c r="T64" s="61">
        <v>4540</v>
      </c>
      <c r="U64" s="61">
        <v>4757</v>
      </c>
      <c r="V64" s="61">
        <v>780</v>
      </c>
    </row>
    <row r="65" spans="1:22">
      <c r="A65" s="61">
        <v>1827</v>
      </c>
      <c r="B65" t="s">
        <v>248</v>
      </c>
      <c r="C65" s="61">
        <v>3.9180684834718704E-2</v>
      </c>
      <c r="D65" s="61">
        <v>0.16002818942070007</v>
      </c>
      <c r="E65" s="61">
        <v>0.2753327488899231</v>
      </c>
      <c r="F65" s="61">
        <v>0.89513367414474487</v>
      </c>
      <c r="G65" s="61">
        <v>4.2244270443916321E-2</v>
      </c>
      <c r="H65" s="61">
        <v>226545</v>
      </c>
      <c r="I65" s="61">
        <v>183461</v>
      </c>
      <c r="J65" s="61">
        <v>4382</v>
      </c>
      <c r="K65" s="61">
        <v>106971</v>
      </c>
      <c r="L65" s="61">
        <v>0</v>
      </c>
      <c r="M65" s="61">
        <v>149715</v>
      </c>
      <c r="N65" s="61">
        <v>41165</v>
      </c>
      <c r="O65" s="61">
        <v>0</v>
      </c>
      <c r="P65" s="61">
        <v>0.929168701171875</v>
      </c>
      <c r="Q65" s="61">
        <v>40323</v>
      </c>
      <c r="R65" s="61">
        <v>166171</v>
      </c>
      <c r="S65" s="61">
        <v>4197</v>
      </c>
      <c r="T65" s="61">
        <v>7858</v>
      </c>
      <c r="U65" s="61">
        <v>26994</v>
      </c>
      <c r="V65" s="61">
        <v>4438</v>
      </c>
    </row>
    <row r="66" spans="1:22">
      <c r="A66" s="61">
        <v>1828</v>
      </c>
      <c r="B66" t="s">
        <v>249</v>
      </c>
      <c r="C66" s="61"/>
      <c r="D66" s="61">
        <v>0.13669556379318237</v>
      </c>
      <c r="E66" s="61">
        <v>0.36061078310012817</v>
      </c>
      <c r="F66" s="61">
        <v>0.93849760293960571</v>
      </c>
      <c r="G66" s="61">
        <v>2.698589488863945E-2</v>
      </c>
      <c r="H66" s="61">
        <v>221786</v>
      </c>
      <c r="I66" s="61">
        <v>226921</v>
      </c>
      <c r="J66" s="61">
        <v>4957</v>
      </c>
      <c r="K66" s="61">
        <v>130554</v>
      </c>
      <c r="L66" s="61">
        <v>0</v>
      </c>
      <c r="M66" s="61">
        <v>122003</v>
      </c>
      <c r="N66" s="61">
        <v>39477</v>
      </c>
      <c r="O66" s="61">
        <v>0</v>
      </c>
      <c r="P66" s="61">
        <v>0.69372713565826416</v>
      </c>
      <c r="Q66" s="61">
        <v>6670</v>
      </c>
      <c r="R66" s="61">
        <v>222429</v>
      </c>
      <c r="S66" s="61">
        <v>2176</v>
      </c>
      <c r="T66" s="61">
        <v>8717</v>
      </c>
      <c r="U66" s="61">
        <v>66820</v>
      </c>
      <c r="V66" s="61">
        <v>41059</v>
      </c>
    </row>
    <row r="67" spans="1:22">
      <c r="A67" s="61">
        <v>1832</v>
      </c>
      <c r="B67" t="s">
        <v>250</v>
      </c>
      <c r="C67" s="61">
        <v>3.8991063833236694E-2</v>
      </c>
      <c r="D67" s="61">
        <v>0.15331165492534637</v>
      </c>
      <c r="E67" s="61">
        <v>0.28297185897827148</v>
      </c>
      <c r="F67" s="61">
        <v>0.93633675575256348</v>
      </c>
      <c r="G67" s="61">
        <v>4.4570770114660263E-2</v>
      </c>
      <c r="H67" s="61">
        <v>533432</v>
      </c>
      <c r="I67" s="61">
        <v>524943</v>
      </c>
      <c r="J67" s="61">
        <v>7550</v>
      </c>
      <c r="K67" s="61">
        <v>236257</v>
      </c>
      <c r="L67" s="61">
        <v>0</v>
      </c>
      <c r="M67" s="61">
        <v>282446</v>
      </c>
      <c r="N67" s="61">
        <v>97694</v>
      </c>
      <c r="O67" s="61">
        <v>44427</v>
      </c>
      <c r="P67" s="61">
        <v>0.6787683367729187</v>
      </c>
      <c r="Q67" s="61">
        <v>60357</v>
      </c>
      <c r="R67" s="61">
        <v>479816</v>
      </c>
      <c r="S67" s="61">
        <v>8186</v>
      </c>
      <c r="T67" s="61">
        <v>21249</v>
      </c>
      <c r="U67" s="61">
        <v>45598</v>
      </c>
      <c r="V67" s="61">
        <v>11229</v>
      </c>
    </row>
    <row r="68" spans="1:22">
      <c r="A68" s="61">
        <v>1833</v>
      </c>
      <c r="B68" t="s">
        <v>251</v>
      </c>
      <c r="C68" s="61">
        <v>2.7830706909298897E-2</v>
      </c>
      <c r="D68" s="61">
        <v>0.12847234308719635</v>
      </c>
      <c r="E68" s="61">
        <v>0.30997958779335022</v>
      </c>
      <c r="F68" s="61">
        <v>0.89798611402511597</v>
      </c>
      <c r="G68" s="61">
        <v>2.4296212941408157E-2</v>
      </c>
      <c r="H68" s="61">
        <v>2745396</v>
      </c>
      <c r="I68" s="61">
        <v>2303364</v>
      </c>
      <c r="J68" s="61">
        <v>50234</v>
      </c>
      <c r="K68" s="61">
        <v>2196167</v>
      </c>
      <c r="L68" s="61">
        <v>0</v>
      </c>
      <c r="M68" s="61">
        <v>1325692</v>
      </c>
      <c r="N68" s="61">
        <v>686577</v>
      </c>
      <c r="O68" s="61">
        <v>42698</v>
      </c>
      <c r="P68" s="61">
        <v>0.81144142150878906</v>
      </c>
      <c r="Q68" s="61">
        <v>513058</v>
      </c>
      <c r="R68" s="61">
        <v>2083831</v>
      </c>
      <c r="S68" s="61">
        <v>43980</v>
      </c>
      <c r="T68" s="61">
        <v>69656</v>
      </c>
      <c r="U68" s="61">
        <v>414365</v>
      </c>
      <c r="V68" s="61">
        <v>111726</v>
      </c>
    </row>
    <row r="69" spans="1:22">
      <c r="A69" s="61">
        <v>1834</v>
      </c>
      <c r="B69" t="s">
        <v>252</v>
      </c>
      <c r="C69" s="61">
        <v>9.2715732753276825E-2</v>
      </c>
      <c r="D69" s="61">
        <v>0.14371541142463684</v>
      </c>
      <c r="E69" s="61">
        <v>0.24320563673973083</v>
      </c>
      <c r="F69" s="61">
        <v>0.8200075626373291</v>
      </c>
      <c r="G69" s="61">
        <v>1.7759909853339195E-2</v>
      </c>
      <c r="H69" s="61">
        <v>130437</v>
      </c>
      <c r="I69" s="61">
        <v>275597</v>
      </c>
      <c r="J69" s="61">
        <v>3184</v>
      </c>
      <c r="K69" s="61">
        <v>257717</v>
      </c>
      <c r="L69" s="61">
        <v>0</v>
      </c>
      <c r="M69" s="61">
        <v>43763</v>
      </c>
      <c r="N69" s="61">
        <v>82254</v>
      </c>
      <c r="O69" s="61">
        <v>0</v>
      </c>
      <c r="P69" s="61">
        <v>1.346787691116333</v>
      </c>
      <c r="Q69" s="61">
        <v>135492</v>
      </c>
      <c r="R69" s="61">
        <v>220153</v>
      </c>
      <c r="S69" s="61">
        <v>1818</v>
      </c>
      <c r="T69" s="61">
        <v>10973</v>
      </c>
      <c r="U69" s="61">
        <v>81935</v>
      </c>
      <c r="V69" s="61">
        <v>14859</v>
      </c>
    </row>
    <row r="70" spans="1:22">
      <c r="A70" s="61">
        <v>1835</v>
      </c>
      <c r="B70" t="s">
        <v>253</v>
      </c>
      <c r="C70" s="61"/>
      <c r="D70" s="61">
        <v>0.20440435409545898</v>
      </c>
      <c r="E70" s="61">
        <v>0.27114927768707275</v>
      </c>
      <c r="F70" s="61">
        <v>0.91121780872344971</v>
      </c>
      <c r="G70" s="61">
        <v>5.6069392710924149E-2</v>
      </c>
      <c r="H70" s="61"/>
      <c r="I70" s="61">
        <v>73308</v>
      </c>
      <c r="J70" s="61">
        <v>563</v>
      </c>
      <c r="K70" s="61"/>
      <c r="L70" s="61"/>
      <c r="M70" s="61"/>
      <c r="N70" s="61">
        <v>15251</v>
      </c>
      <c r="O70" s="61">
        <v>0</v>
      </c>
      <c r="P70" s="61">
        <v>1.0849580764770508</v>
      </c>
      <c r="Q70" s="61"/>
      <c r="R70" s="61">
        <v>72199</v>
      </c>
      <c r="S70" s="61">
        <v>883</v>
      </c>
      <c r="T70" s="61">
        <v>2756</v>
      </c>
      <c r="U70" s="61">
        <v>4087</v>
      </c>
      <c r="V70" s="61">
        <v>667</v>
      </c>
    </row>
    <row r="71" spans="1:22">
      <c r="A71" s="61">
        <v>1836</v>
      </c>
      <c r="B71" t="s">
        <v>531</v>
      </c>
      <c r="C71" s="61">
        <v>4.3546315282583237E-2</v>
      </c>
      <c r="D71" s="61">
        <v>0.13072209060192108</v>
      </c>
      <c r="E71" s="61">
        <v>0.35826984047889709</v>
      </c>
      <c r="F71" s="61">
        <v>0.88440734148025513</v>
      </c>
      <c r="G71" s="61">
        <v>4.372144490480423E-2</v>
      </c>
      <c r="H71" s="61">
        <v>135994</v>
      </c>
      <c r="I71" s="61">
        <v>184680</v>
      </c>
      <c r="J71" s="61">
        <v>938</v>
      </c>
      <c r="K71" s="61">
        <v>121739</v>
      </c>
      <c r="L71" s="61">
        <v>0</v>
      </c>
      <c r="M71" s="61">
        <v>97980</v>
      </c>
      <c r="N71" s="61">
        <v>30266</v>
      </c>
      <c r="O71" s="61">
        <v>1349</v>
      </c>
      <c r="P71" s="61">
        <v>0.77214372158050537</v>
      </c>
      <c r="Q71" s="61">
        <v>57682</v>
      </c>
      <c r="R71" s="61">
        <v>159832</v>
      </c>
      <c r="S71" s="61">
        <v>2557</v>
      </c>
      <c r="T71" s="61">
        <v>6204</v>
      </c>
      <c r="U71" s="61">
        <v>8049</v>
      </c>
      <c r="V71" s="61">
        <v>1427</v>
      </c>
    </row>
    <row r="72" spans="1:22">
      <c r="A72" s="61">
        <v>1837</v>
      </c>
      <c r="B72" t="s">
        <v>254</v>
      </c>
      <c r="C72" s="61">
        <v>3.4572459757328033E-2</v>
      </c>
      <c r="D72" s="61">
        <v>0.12789210677146912</v>
      </c>
      <c r="E72" s="61">
        <v>0.27927377820014954</v>
      </c>
      <c r="F72" s="61">
        <v>0.93214070796966553</v>
      </c>
      <c r="G72" s="61">
        <v>1.9450711086392403E-2</v>
      </c>
      <c r="H72" s="61">
        <v>787302</v>
      </c>
      <c r="I72" s="61">
        <v>743747</v>
      </c>
      <c r="J72" s="61">
        <v>6735</v>
      </c>
      <c r="K72" s="61">
        <v>415114</v>
      </c>
      <c r="L72" s="61">
        <v>0</v>
      </c>
      <c r="M72" s="61">
        <v>468644</v>
      </c>
      <c r="N72" s="61">
        <v>182883</v>
      </c>
      <c r="O72" s="61">
        <v>21361</v>
      </c>
      <c r="P72" s="61">
        <v>0.90004599094390869</v>
      </c>
      <c r="Q72" s="61">
        <v>48856</v>
      </c>
      <c r="R72" s="61">
        <v>697417</v>
      </c>
      <c r="S72" s="61">
        <v>11554</v>
      </c>
      <c r="T72" s="61">
        <v>25238</v>
      </c>
      <c r="U72" s="61">
        <v>187029</v>
      </c>
      <c r="V72" s="61">
        <v>116011</v>
      </c>
    </row>
    <row r="73" spans="1:22">
      <c r="A73" s="61">
        <v>1838</v>
      </c>
      <c r="B73" t="s">
        <v>255</v>
      </c>
      <c r="C73" s="61">
        <v>3.6479156464338303E-2</v>
      </c>
      <c r="D73" s="61">
        <v>0.13610194623470306</v>
      </c>
      <c r="E73" s="61">
        <v>0.19034512341022491</v>
      </c>
      <c r="F73" s="61">
        <v>0.95501863956451416</v>
      </c>
      <c r="G73" s="61">
        <v>2.4490209762006998E-3</v>
      </c>
      <c r="H73" s="61">
        <v>317519</v>
      </c>
      <c r="I73" s="61">
        <v>273263</v>
      </c>
      <c r="J73" s="61">
        <v>679</v>
      </c>
      <c r="K73" s="61">
        <v>432808</v>
      </c>
      <c r="L73" s="61">
        <v>0</v>
      </c>
      <c r="M73" s="61">
        <v>176727</v>
      </c>
      <c r="N73" s="61">
        <v>48200</v>
      </c>
      <c r="O73" s="61">
        <v>6483</v>
      </c>
      <c r="P73" s="61">
        <v>0.76492053270339966</v>
      </c>
      <c r="Q73" s="61">
        <v>46932</v>
      </c>
      <c r="R73" s="61">
        <v>248592</v>
      </c>
      <c r="S73" s="61">
        <v>4556</v>
      </c>
      <c r="T73" s="61">
        <v>10702</v>
      </c>
      <c r="U73" s="61">
        <v>35598</v>
      </c>
      <c r="V73" s="61">
        <v>8226</v>
      </c>
    </row>
    <row r="74" spans="1:22">
      <c r="A74" s="61">
        <v>1839</v>
      </c>
      <c r="B74" t="s">
        <v>256</v>
      </c>
      <c r="C74" s="61">
        <v>5.823758989572525E-2</v>
      </c>
      <c r="D74" s="61">
        <v>0.1368880420923233</v>
      </c>
      <c r="E74" s="61">
        <v>0.25043845176696777</v>
      </c>
      <c r="F74" s="61">
        <v>0.97793573141098022</v>
      </c>
      <c r="G74" s="61">
        <v>3.490326227620244E-3</v>
      </c>
      <c r="H74" s="61">
        <v>198921</v>
      </c>
      <c r="I74" s="61">
        <v>149044</v>
      </c>
      <c r="J74" s="61">
        <v>1275</v>
      </c>
      <c r="K74" s="61">
        <v>337370</v>
      </c>
      <c r="L74" s="61">
        <v>0</v>
      </c>
      <c r="M74" s="61">
        <v>96310</v>
      </c>
      <c r="N74" s="61">
        <v>20966</v>
      </c>
      <c r="O74" s="61">
        <v>10986</v>
      </c>
      <c r="P74" s="61">
        <v>0.63796746730804443</v>
      </c>
      <c r="Q74" s="61">
        <v>35089</v>
      </c>
      <c r="R74" s="61">
        <v>147253</v>
      </c>
      <c r="S74" s="61">
        <v>2943</v>
      </c>
      <c r="T74" s="61">
        <v>10290</v>
      </c>
      <c r="U74" s="61">
        <v>25222</v>
      </c>
      <c r="V74" s="61">
        <v>3481</v>
      </c>
    </row>
    <row r="75" spans="1:22">
      <c r="A75" s="61">
        <v>1840</v>
      </c>
      <c r="B75" t="s">
        <v>257</v>
      </c>
      <c r="C75" s="61">
        <v>5.4675932973623276E-2</v>
      </c>
      <c r="D75" s="61">
        <v>8.0067627131938934E-2</v>
      </c>
      <c r="E75" s="61">
        <v>0.22828273475170135</v>
      </c>
      <c r="F75" s="61">
        <v>0.93701541423797607</v>
      </c>
      <c r="G75" s="61">
        <v>1.2811390683054924E-2</v>
      </c>
      <c r="H75" s="61">
        <v>393155</v>
      </c>
      <c r="I75" s="61">
        <v>535726</v>
      </c>
      <c r="J75" s="61">
        <v>1401</v>
      </c>
      <c r="K75" s="61">
        <v>142304</v>
      </c>
      <c r="L75" s="61">
        <v>7958</v>
      </c>
      <c r="M75" s="61">
        <v>-86704</v>
      </c>
      <c r="N75" s="61">
        <v>111368</v>
      </c>
      <c r="O75" s="61">
        <v>994</v>
      </c>
      <c r="P75" s="61">
        <v>0.7378268837928772</v>
      </c>
      <c r="Q75" s="61">
        <v>0</v>
      </c>
      <c r="R75" s="61">
        <v>507772</v>
      </c>
      <c r="S75" s="61">
        <v>6936</v>
      </c>
      <c r="T75" s="61">
        <v>21531</v>
      </c>
      <c r="U75" s="61">
        <v>20096</v>
      </c>
      <c r="V75" s="61">
        <v>9191</v>
      </c>
    </row>
    <row r="76" spans="1:22">
      <c r="A76" s="61">
        <v>1841</v>
      </c>
      <c r="B76" t="s">
        <v>258</v>
      </c>
      <c r="C76" s="61">
        <v>2.9914896935224533E-2</v>
      </c>
      <c r="D76" s="61">
        <v>0.19531159102916718</v>
      </c>
      <c r="E76" s="61">
        <v>0.25710609555244446</v>
      </c>
      <c r="F76" s="61">
        <v>0.94811445474624634</v>
      </c>
      <c r="G76" s="61">
        <v>2.0577549934387207E-2</v>
      </c>
      <c r="H76" s="61">
        <v>1657269</v>
      </c>
      <c r="I76" s="61">
        <v>922172</v>
      </c>
      <c r="J76" s="61">
        <v>5821</v>
      </c>
      <c r="K76" s="61">
        <v>416071</v>
      </c>
      <c r="L76" s="61">
        <v>96384</v>
      </c>
      <c r="M76" s="61">
        <v>1079221</v>
      </c>
      <c r="N76" s="61">
        <v>262882</v>
      </c>
      <c r="O76" s="61">
        <v>5710</v>
      </c>
      <c r="P76" s="61">
        <v>0.83531522750854492</v>
      </c>
      <c r="Q76" s="61">
        <v>0</v>
      </c>
      <c r="R76" s="61">
        <v>863338</v>
      </c>
      <c r="S76" s="61">
        <v>26062</v>
      </c>
      <c r="T76" s="61">
        <v>47384</v>
      </c>
      <c r="U76" s="61">
        <v>120963</v>
      </c>
      <c r="V76" s="61">
        <v>31777</v>
      </c>
    </row>
    <row r="77" spans="1:22">
      <c r="A77" s="61">
        <v>1845</v>
      </c>
      <c r="B77" t="s">
        <v>259</v>
      </c>
      <c r="C77" s="61">
        <v>6.5695561468601227E-2</v>
      </c>
      <c r="D77" s="61">
        <v>0.13067167997360229</v>
      </c>
      <c r="E77" s="61">
        <v>0.26026430726051331</v>
      </c>
      <c r="F77" s="61">
        <v>0.92807120084762573</v>
      </c>
      <c r="G77" s="61">
        <v>1.7220886424183846E-2</v>
      </c>
      <c r="H77" s="61">
        <v>192883</v>
      </c>
      <c r="I77" s="61">
        <v>295486</v>
      </c>
      <c r="J77" s="61">
        <v>1213</v>
      </c>
      <c r="K77" s="61">
        <v>151974</v>
      </c>
      <c r="L77" s="61">
        <v>0</v>
      </c>
      <c r="M77" s="61">
        <v>134311</v>
      </c>
      <c r="N77" s="61">
        <v>43643</v>
      </c>
      <c r="O77" s="61">
        <v>23523</v>
      </c>
      <c r="P77" s="61">
        <v>0.70123279094696045</v>
      </c>
      <c r="Q77" s="61">
        <v>15271</v>
      </c>
      <c r="R77" s="61">
        <v>265562</v>
      </c>
      <c r="S77" s="61">
        <v>2959</v>
      </c>
      <c r="T77" s="61">
        <v>12583</v>
      </c>
      <c r="U77" s="61">
        <v>11025</v>
      </c>
      <c r="V77" s="61">
        <v>2417</v>
      </c>
    </row>
    <row r="78" spans="1:22">
      <c r="A78" s="61">
        <v>1848</v>
      </c>
      <c r="B78" t="s">
        <v>260</v>
      </c>
      <c r="C78" s="61">
        <v>2.8326058760285378E-2</v>
      </c>
      <c r="D78" s="61">
        <v>0.11953088641166687</v>
      </c>
      <c r="E78" s="61">
        <v>0.57885622978210449</v>
      </c>
      <c r="F78" s="61">
        <v>0.93138253688812256</v>
      </c>
      <c r="G78" s="61">
        <v>2.9745053499937057E-2</v>
      </c>
      <c r="H78" s="61">
        <v>329162</v>
      </c>
      <c r="I78" s="61">
        <v>319722</v>
      </c>
      <c r="J78" s="61">
        <v>5083</v>
      </c>
      <c r="K78" s="61">
        <v>217992</v>
      </c>
      <c r="L78" s="61">
        <v>0</v>
      </c>
      <c r="M78" s="61"/>
      <c r="N78" s="61">
        <v>68850</v>
      </c>
      <c r="O78" s="61">
        <v>81</v>
      </c>
      <c r="P78" s="61">
        <v>0.81695902347564697</v>
      </c>
      <c r="Q78" s="61">
        <v>6293</v>
      </c>
      <c r="R78" s="61">
        <v>299390</v>
      </c>
      <c r="S78" s="61">
        <v>6057</v>
      </c>
      <c r="T78" s="61">
        <v>8800</v>
      </c>
      <c r="U78" s="61">
        <v>35718</v>
      </c>
      <c r="V78" s="61">
        <v>21635</v>
      </c>
    </row>
    <row r="79" spans="1:22">
      <c r="A79" s="61">
        <v>1851</v>
      </c>
      <c r="B79" t="s">
        <v>261</v>
      </c>
      <c r="C79" s="61">
        <v>3.3335637301206589E-2</v>
      </c>
      <c r="D79" s="61">
        <v>0.108591228723526</v>
      </c>
      <c r="E79" s="61">
        <v>0.2907082736492157</v>
      </c>
      <c r="F79" s="61">
        <v>0.97117829322814941</v>
      </c>
      <c r="G79" s="61">
        <v>3.2136175781488419E-2</v>
      </c>
      <c r="H79" s="61">
        <v>326742</v>
      </c>
      <c r="I79" s="61">
        <v>261858</v>
      </c>
      <c r="J79" s="61">
        <v>3278</v>
      </c>
      <c r="K79" s="61">
        <v>112013</v>
      </c>
      <c r="L79" s="61">
        <v>16919</v>
      </c>
      <c r="M79" s="61">
        <v>263226</v>
      </c>
      <c r="N79" s="61">
        <v>53127</v>
      </c>
      <c r="O79" s="61">
        <v>0</v>
      </c>
      <c r="P79" s="61">
        <v>0.8082919716835022</v>
      </c>
      <c r="Q79" s="61">
        <v>3</v>
      </c>
      <c r="R79" s="61">
        <v>247927</v>
      </c>
      <c r="S79" s="61">
        <v>6315</v>
      </c>
      <c r="T79" s="61">
        <v>10611</v>
      </c>
      <c r="U79" s="61">
        <v>22720</v>
      </c>
      <c r="V79" s="61">
        <v>11227</v>
      </c>
    </row>
    <row r="80" spans="1:22">
      <c r="A80" s="61">
        <v>1853</v>
      </c>
      <c r="B80" t="s">
        <v>262</v>
      </c>
      <c r="C80" s="61"/>
      <c r="D80" s="61">
        <v>0.11699705570936203</v>
      </c>
      <c r="E80" s="61">
        <v>0.22671951353549957</v>
      </c>
      <c r="F80" s="61">
        <v>0.94756948947906494</v>
      </c>
      <c r="G80" s="61">
        <v>7.6908789575099945E-2</v>
      </c>
      <c r="H80" s="61">
        <v>215207</v>
      </c>
      <c r="I80" s="61">
        <v>163270</v>
      </c>
      <c r="J80" s="61">
        <v>1224</v>
      </c>
      <c r="K80" s="61">
        <v>90019</v>
      </c>
      <c r="L80" s="61">
        <v>0</v>
      </c>
      <c r="M80" s="61">
        <v>170094</v>
      </c>
      <c r="N80" s="61">
        <v>31152</v>
      </c>
      <c r="O80" s="61">
        <v>151</v>
      </c>
      <c r="P80" s="61">
        <v>0.71515464782714844</v>
      </c>
      <c r="Q80" s="61">
        <v>14740</v>
      </c>
      <c r="R80" s="61">
        <v>149907</v>
      </c>
      <c r="S80" s="61">
        <v>1213</v>
      </c>
      <c r="T80" s="61">
        <v>3188</v>
      </c>
      <c r="U80" s="61">
        <v>139122</v>
      </c>
      <c r="V80" s="61">
        <v>28192</v>
      </c>
    </row>
    <row r="81" spans="1:22">
      <c r="A81" s="61">
        <v>1856</v>
      </c>
      <c r="B81" t="s">
        <v>263</v>
      </c>
      <c r="C81" s="61">
        <v>4.057791456580162E-2</v>
      </c>
      <c r="D81" s="61">
        <v>0.11728066205978394</v>
      </c>
      <c r="E81" s="61">
        <v>0.29844754934310913</v>
      </c>
      <c r="F81" s="61">
        <v>0.89839881658554077</v>
      </c>
      <c r="G81" s="61">
        <v>2.0851019769906998E-2</v>
      </c>
      <c r="H81" s="61">
        <v>68525</v>
      </c>
      <c r="I81" s="61">
        <v>76957</v>
      </c>
      <c r="J81" s="61">
        <v>760</v>
      </c>
      <c r="K81" s="61">
        <v>49886</v>
      </c>
      <c r="L81" s="61">
        <v>0</v>
      </c>
      <c r="M81" s="61">
        <v>45261</v>
      </c>
      <c r="N81" s="61">
        <v>18270</v>
      </c>
      <c r="O81" s="61">
        <v>0</v>
      </c>
      <c r="P81" s="61">
        <v>1.1353064775466919</v>
      </c>
      <c r="Q81" s="61">
        <v>18501</v>
      </c>
      <c r="R81" s="61">
        <v>69282</v>
      </c>
      <c r="S81" s="61">
        <v>1013</v>
      </c>
      <c r="T81" s="61">
        <v>2553</v>
      </c>
      <c r="U81" s="61">
        <v>12326</v>
      </c>
      <c r="V81" s="61">
        <v>2305</v>
      </c>
    </row>
    <row r="82" spans="1:22">
      <c r="A82" s="61">
        <v>1857</v>
      </c>
      <c r="B82" t="s">
        <v>264</v>
      </c>
      <c r="C82" s="61">
        <v>6.324709951877594E-2</v>
      </c>
      <c r="D82" s="61">
        <v>0.13073225319385529</v>
      </c>
      <c r="E82" s="61">
        <v>0.24897579848766327</v>
      </c>
      <c r="F82" s="61">
        <v>0.91797924041748047</v>
      </c>
      <c r="G82" s="61">
        <v>1.8495187163352966E-2</v>
      </c>
      <c r="H82" s="61">
        <v>69560</v>
      </c>
      <c r="I82" s="61">
        <v>101640</v>
      </c>
      <c r="J82" s="61">
        <v>879</v>
      </c>
      <c r="K82" s="61">
        <v>53036</v>
      </c>
      <c r="L82" s="61">
        <v>0</v>
      </c>
      <c r="M82" s="61">
        <v>43786</v>
      </c>
      <c r="N82" s="61">
        <v>24227</v>
      </c>
      <c r="O82" s="61">
        <v>0</v>
      </c>
      <c r="P82" s="61">
        <v>1.0298457145690918</v>
      </c>
      <c r="Q82" s="61">
        <v>5020</v>
      </c>
      <c r="R82" s="61">
        <v>92176</v>
      </c>
      <c r="S82" s="61">
        <v>1240</v>
      </c>
      <c r="T82" s="61">
        <v>4254</v>
      </c>
      <c r="U82" s="61">
        <v>14164</v>
      </c>
      <c r="V82" s="61">
        <v>4356</v>
      </c>
    </row>
    <row r="83" spans="1:22">
      <c r="A83" s="61">
        <v>1859</v>
      </c>
      <c r="B83" t="s">
        <v>265</v>
      </c>
      <c r="C83" s="61">
        <v>4.1418623179197311E-2</v>
      </c>
      <c r="D83" s="61">
        <v>7.3907822370529175E-2</v>
      </c>
      <c r="E83" s="61">
        <v>0.25724318623542786</v>
      </c>
      <c r="F83" s="61">
        <v>0.89647924900054932</v>
      </c>
      <c r="G83" s="61">
        <v>1.9808784127235413E-2</v>
      </c>
      <c r="H83" s="61">
        <v>115573</v>
      </c>
      <c r="I83" s="61">
        <v>151869</v>
      </c>
      <c r="J83" s="61">
        <v>1766</v>
      </c>
      <c r="K83" s="61">
        <v>97818</v>
      </c>
      <c r="L83" s="61">
        <v>0</v>
      </c>
      <c r="M83" s="61"/>
      <c r="N83" s="61">
        <v>40310</v>
      </c>
      <c r="O83" s="61">
        <v>24</v>
      </c>
      <c r="P83" s="61">
        <v>0.98068511486053467</v>
      </c>
      <c r="Q83" s="61">
        <v>26921</v>
      </c>
      <c r="R83" s="61">
        <v>144581</v>
      </c>
      <c r="S83" s="61">
        <v>1777</v>
      </c>
      <c r="T83" s="61">
        <v>4425</v>
      </c>
      <c r="U83" s="61">
        <v>13169</v>
      </c>
      <c r="V83" s="61">
        <v>2720</v>
      </c>
    </row>
    <row r="84" spans="1:22">
      <c r="A84" s="61">
        <v>1860</v>
      </c>
      <c r="B84" t="s">
        <v>266</v>
      </c>
      <c r="C84" s="61">
        <v>3.8770139217376709E-2</v>
      </c>
      <c r="D84" s="61">
        <v>9.934639185667038E-2</v>
      </c>
      <c r="E84" s="61">
        <v>0.27315217256546021</v>
      </c>
      <c r="F84" s="61">
        <v>0.96155524253845215</v>
      </c>
      <c r="G84" s="61">
        <v>2.3966103792190552E-2</v>
      </c>
      <c r="H84" s="61">
        <v>1065184</v>
      </c>
      <c r="I84" s="61">
        <v>1021259</v>
      </c>
      <c r="J84" s="61">
        <v>10475</v>
      </c>
      <c r="K84" s="61">
        <v>436029</v>
      </c>
      <c r="L84" s="61">
        <v>0</v>
      </c>
      <c r="M84" s="61">
        <v>629290</v>
      </c>
      <c r="N84" s="61">
        <v>297869</v>
      </c>
      <c r="O84" s="61">
        <v>0</v>
      </c>
      <c r="P84" s="61">
        <v>0.80624866485595703</v>
      </c>
      <c r="Q84" s="61">
        <v>3316</v>
      </c>
      <c r="R84" s="61">
        <v>1002220</v>
      </c>
      <c r="S84" s="61">
        <v>18170</v>
      </c>
      <c r="T84" s="61">
        <v>36694</v>
      </c>
      <c r="U84" s="61">
        <v>145547</v>
      </c>
      <c r="V84" s="61">
        <v>38845</v>
      </c>
    </row>
    <row r="85" spans="1:22">
      <c r="A85" s="61">
        <v>1865</v>
      </c>
      <c r="B85" t="s">
        <v>267</v>
      </c>
      <c r="C85" s="61">
        <v>4.970945417881012E-2</v>
      </c>
      <c r="D85" s="61">
        <v>0.10942200571298599</v>
      </c>
      <c r="E85" s="61">
        <v>0.27676931023597717</v>
      </c>
      <c r="F85" s="61">
        <v>0.95754826068878174</v>
      </c>
      <c r="G85" s="61">
        <v>2.2830812260508537E-2</v>
      </c>
      <c r="H85" s="61">
        <v>1517205</v>
      </c>
      <c r="I85" s="61">
        <v>872632</v>
      </c>
      <c r="J85" s="61">
        <v>11547</v>
      </c>
      <c r="K85" s="61">
        <v>678919</v>
      </c>
      <c r="L85" s="61">
        <v>0</v>
      </c>
      <c r="M85" s="61">
        <v>1035740</v>
      </c>
      <c r="N85" s="61">
        <v>274393</v>
      </c>
      <c r="O85" s="61">
        <v>17</v>
      </c>
      <c r="P85" s="61">
        <v>0.88377952575683594</v>
      </c>
      <c r="Q85" s="61">
        <v>38714</v>
      </c>
      <c r="R85" s="61">
        <v>857829</v>
      </c>
      <c r="S85" s="61">
        <v>23637</v>
      </c>
      <c r="T85" s="61">
        <v>33354</v>
      </c>
      <c r="U85" s="61">
        <v>293475</v>
      </c>
      <c r="V85" s="61">
        <v>41420</v>
      </c>
    </row>
    <row r="86" spans="1:22">
      <c r="A86" s="61">
        <v>1866</v>
      </c>
      <c r="B86" t="s">
        <v>268</v>
      </c>
      <c r="C86" s="61">
        <v>4.1584640741348267E-2</v>
      </c>
      <c r="D86" s="61">
        <v>0.14549992978572845</v>
      </c>
      <c r="E86" s="61">
        <v>0.26240053772926331</v>
      </c>
      <c r="F86" s="61">
        <v>0.93704962730407715</v>
      </c>
      <c r="G86" s="61">
        <v>1.8113527446985245E-2</v>
      </c>
      <c r="H86" s="61">
        <v>983207</v>
      </c>
      <c r="I86" s="61">
        <v>803190</v>
      </c>
      <c r="J86" s="61">
        <v>4987</v>
      </c>
      <c r="K86" s="61">
        <v>339530</v>
      </c>
      <c r="L86" s="61">
        <v>0</v>
      </c>
      <c r="M86" s="61">
        <v>967398</v>
      </c>
      <c r="N86" s="61">
        <v>229795</v>
      </c>
      <c r="O86" s="61">
        <v>0</v>
      </c>
      <c r="P86" s="61">
        <v>0.88217663764953613</v>
      </c>
      <c r="Q86" s="61">
        <v>25043</v>
      </c>
      <c r="R86" s="61">
        <v>743913</v>
      </c>
      <c r="S86" s="61">
        <v>15904</v>
      </c>
      <c r="T86" s="61">
        <v>34178</v>
      </c>
      <c r="U86" s="61">
        <v>281433</v>
      </c>
      <c r="V86" s="61">
        <v>78534</v>
      </c>
    </row>
    <row r="87" spans="1:22">
      <c r="A87" s="61">
        <v>1867</v>
      </c>
      <c r="B87" t="s">
        <v>269</v>
      </c>
      <c r="C87" s="61">
        <v>3.2833598554134369E-2</v>
      </c>
      <c r="D87" s="61">
        <v>0.10034129023551941</v>
      </c>
      <c r="E87" s="61">
        <v>0.36663588881492615</v>
      </c>
      <c r="F87" s="61">
        <v>0.93554222583770752</v>
      </c>
      <c r="G87" s="61">
        <v>5.8063533157110214E-2</v>
      </c>
      <c r="H87" s="61">
        <v>320392</v>
      </c>
      <c r="I87" s="61">
        <v>291724</v>
      </c>
      <c r="J87" s="61">
        <v>23069</v>
      </c>
      <c r="K87" s="61">
        <v>147795</v>
      </c>
      <c r="L87" s="61">
        <v>0</v>
      </c>
      <c r="M87" s="61">
        <v>225066</v>
      </c>
      <c r="N87" s="61">
        <v>63494</v>
      </c>
      <c r="O87" s="61">
        <v>0</v>
      </c>
      <c r="P87" s="61">
        <v>0.76484334468841553</v>
      </c>
      <c r="Q87" s="61">
        <v>17604</v>
      </c>
      <c r="R87" s="61">
        <v>280702</v>
      </c>
      <c r="S87" s="61">
        <v>5825</v>
      </c>
      <c r="T87" s="61">
        <v>9967</v>
      </c>
      <c r="U87" s="61">
        <v>38870</v>
      </c>
      <c r="V87" s="61">
        <v>7949</v>
      </c>
    </row>
    <row r="88" spans="1:22">
      <c r="A88" s="61">
        <v>1868</v>
      </c>
      <c r="B88" t="s">
        <v>270</v>
      </c>
      <c r="C88" s="61">
        <v>3.9047654718160629E-2</v>
      </c>
      <c r="D88" s="61">
        <v>0.11986080557107925</v>
      </c>
      <c r="E88" s="61">
        <v>0.28146341443061829</v>
      </c>
      <c r="F88" s="61">
        <v>0.92078298330307007</v>
      </c>
      <c r="G88" s="61">
        <v>3.0968360602855682E-2</v>
      </c>
      <c r="H88" s="61">
        <v>505920</v>
      </c>
      <c r="I88" s="61">
        <v>431633</v>
      </c>
      <c r="J88" s="61">
        <v>14251</v>
      </c>
      <c r="K88" s="61">
        <v>268057</v>
      </c>
      <c r="L88" s="61">
        <v>0</v>
      </c>
      <c r="M88" s="61">
        <v>326636</v>
      </c>
      <c r="N88" s="61">
        <v>120986</v>
      </c>
      <c r="O88" s="61">
        <v>0</v>
      </c>
      <c r="P88" s="61">
        <v>0.84898579120635986</v>
      </c>
      <c r="Q88" s="61">
        <v>48188</v>
      </c>
      <c r="R88" s="61">
        <v>387281</v>
      </c>
      <c r="S88" s="61">
        <v>8483</v>
      </c>
      <c r="T88" s="61">
        <v>18003</v>
      </c>
      <c r="U88" s="61">
        <v>65677</v>
      </c>
      <c r="V88" s="61">
        <v>23430</v>
      </c>
    </row>
    <row r="89" spans="1:22">
      <c r="A89" s="61">
        <v>1870</v>
      </c>
      <c r="B89" t="s">
        <v>271</v>
      </c>
      <c r="C89" s="61">
        <v>3.6051593720912933E-2</v>
      </c>
      <c r="D89" s="61">
        <v>9.9885888397693634E-2</v>
      </c>
      <c r="E89" s="61">
        <v>0.20068436861038208</v>
      </c>
      <c r="F89" s="61">
        <v>0.93617522716522217</v>
      </c>
      <c r="G89" s="61">
        <v>3.4283213317394257E-2</v>
      </c>
      <c r="H89" s="61">
        <v>967273</v>
      </c>
      <c r="I89" s="61">
        <v>1044196</v>
      </c>
      <c r="J89" s="61">
        <v>25702</v>
      </c>
      <c r="K89" s="61">
        <v>388253</v>
      </c>
      <c r="L89" s="61">
        <v>0</v>
      </c>
      <c r="M89" s="61">
        <v>755678</v>
      </c>
      <c r="N89" s="61">
        <v>286545</v>
      </c>
      <c r="O89" s="61">
        <v>142</v>
      </c>
      <c r="P89" s="61">
        <v>0.83923989534378052</v>
      </c>
      <c r="Q89" s="61">
        <v>129702</v>
      </c>
      <c r="R89" s="61">
        <v>977462</v>
      </c>
      <c r="S89" s="61">
        <v>16286</v>
      </c>
      <c r="T89" s="61">
        <v>32442</v>
      </c>
      <c r="U89" s="61">
        <v>81693</v>
      </c>
      <c r="V89" s="61">
        <v>10344</v>
      </c>
    </row>
    <row r="90" spans="1:22">
      <c r="A90" s="61">
        <v>1871</v>
      </c>
      <c r="B90" t="s">
        <v>272</v>
      </c>
      <c r="C90" s="61">
        <v>4.4345222413539886E-2</v>
      </c>
      <c r="D90" s="61">
        <v>0.1207917332649231</v>
      </c>
      <c r="E90" s="61">
        <v>0.26438421010971069</v>
      </c>
      <c r="F90" s="61">
        <v>0.92595094442367554</v>
      </c>
      <c r="G90" s="61">
        <v>2.5962766259908676E-2</v>
      </c>
      <c r="H90" s="61">
        <v>449770</v>
      </c>
      <c r="I90" s="61">
        <v>449785</v>
      </c>
      <c r="J90" s="61">
        <v>4388</v>
      </c>
      <c r="K90" s="61">
        <v>214323</v>
      </c>
      <c r="L90" s="61">
        <v>0</v>
      </c>
      <c r="M90" s="61">
        <v>262738</v>
      </c>
      <c r="N90" s="61">
        <v>118622</v>
      </c>
      <c r="O90" s="61">
        <v>34</v>
      </c>
      <c r="P90" s="61">
        <v>0.78723382949829102</v>
      </c>
      <c r="Q90" s="61">
        <v>14245</v>
      </c>
      <c r="R90" s="61">
        <v>436480</v>
      </c>
      <c r="S90" s="61">
        <v>8081</v>
      </c>
      <c r="T90" s="61">
        <v>17738</v>
      </c>
      <c r="U90" s="61">
        <v>89761</v>
      </c>
      <c r="V90" s="61">
        <v>21303</v>
      </c>
    </row>
    <row r="91" spans="1:22">
      <c r="A91" s="61">
        <v>1874</v>
      </c>
      <c r="B91" t="s">
        <v>273</v>
      </c>
      <c r="C91" s="61">
        <v>3.278399258852005E-2</v>
      </c>
      <c r="D91" s="61">
        <v>0.13222907483577728</v>
      </c>
      <c r="E91" s="61">
        <v>0.350187748670578</v>
      </c>
      <c r="F91" s="61">
        <v>0.98164862394332886</v>
      </c>
      <c r="G91" s="61">
        <v>2.591230534017086E-2</v>
      </c>
      <c r="H91" s="61">
        <v>139004</v>
      </c>
      <c r="I91" s="61">
        <v>143705</v>
      </c>
      <c r="J91" s="61">
        <v>1332</v>
      </c>
      <c r="K91" s="61">
        <v>52885</v>
      </c>
      <c r="L91" s="61">
        <v>49283</v>
      </c>
      <c r="M91" s="61">
        <v>90893</v>
      </c>
      <c r="N91" s="61">
        <v>31448</v>
      </c>
      <c r="O91" s="61">
        <v>40</v>
      </c>
      <c r="P91" s="61">
        <v>0.95880633592605591</v>
      </c>
      <c r="Q91" s="61">
        <v>0</v>
      </c>
      <c r="R91" s="61">
        <v>146668</v>
      </c>
      <c r="S91" s="61">
        <v>4687</v>
      </c>
      <c r="T91" s="61">
        <v>4647</v>
      </c>
      <c r="U91" s="61">
        <v>1502</v>
      </c>
      <c r="V91" s="61">
        <v>1392</v>
      </c>
    </row>
    <row r="92" spans="1:22">
      <c r="A92" s="61">
        <v>1875</v>
      </c>
      <c r="B92" t="s">
        <v>274</v>
      </c>
      <c r="C92" s="61">
        <v>7.5919412076473236E-2</v>
      </c>
      <c r="D92" s="61">
        <v>7.9763144254684448E-2</v>
      </c>
      <c r="E92" s="61">
        <v>0.32121127843856812</v>
      </c>
      <c r="F92" s="61">
        <v>0.94654601812362671</v>
      </c>
      <c r="G92" s="61">
        <v>3.5085327923297882E-2</v>
      </c>
      <c r="H92" s="61">
        <v>209294</v>
      </c>
      <c r="I92" s="61">
        <v>402160</v>
      </c>
      <c r="J92" s="61">
        <v>4414</v>
      </c>
      <c r="K92" s="61">
        <v>221435</v>
      </c>
      <c r="L92" s="61">
        <v>35164</v>
      </c>
      <c r="M92" s="61">
        <v>100633</v>
      </c>
      <c r="N92" s="61">
        <v>78376</v>
      </c>
      <c r="O92" s="61">
        <v>5258</v>
      </c>
      <c r="P92" s="61">
        <v>0.87686920166015625</v>
      </c>
      <c r="Q92" s="61">
        <v>0</v>
      </c>
      <c r="R92" s="61">
        <v>366364</v>
      </c>
      <c r="S92" s="61">
        <v>5051</v>
      </c>
      <c r="T92" s="61">
        <v>11294</v>
      </c>
      <c r="U92" s="61">
        <v>15874</v>
      </c>
      <c r="V92" s="61">
        <v>6003</v>
      </c>
    </row>
    <row r="93" spans="1:22">
      <c r="A93" s="61">
        <v>3001</v>
      </c>
      <c r="B93" t="s">
        <v>275</v>
      </c>
      <c r="C93" s="61">
        <v>3.7393398582935333E-2</v>
      </c>
      <c r="D93" s="61">
        <v>0.14542880654335022</v>
      </c>
      <c r="E93" s="61">
        <v>0.1865130215883255</v>
      </c>
      <c r="F93" s="61">
        <v>0.90854382514953613</v>
      </c>
      <c r="G93" s="61">
        <v>2.00392697006464E-2</v>
      </c>
      <c r="H93" s="61">
        <v>3475826</v>
      </c>
      <c r="I93" s="61">
        <v>2664941</v>
      </c>
      <c r="J93" s="61">
        <v>20267</v>
      </c>
      <c r="K93" s="61">
        <v>893373</v>
      </c>
      <c r="L93" s="61">
        <v>0</v>
      </c>
      <c r="M93" s="61">
        <v>1661288</v>
      </c>
      <c r="N93" s="61">
        <v>771295</v>
      </c>
      <c r="O93" s="61">
        <v>46</v>
      </c>
      <c r="P93" s="61">
        <v>0.76079624891281128</v>
      </c>
      <c r="Q93" s="61">
        <v>146424</v>
      </c>
      <c r="R93" s="61">
        <v>2453944</v>
      </c>
      <c r="S93" s="61">
        <v>61745</v>
      </c>
      <c r="T93" s="61">
        <v>120690</v>
      </c>
      <c r="U93" s="61">
        <v>449332</v>
      </c>
      <c r="V93" s="61">
        <v>26182</v>
      </c>
    </row>
    <row r="94" spans="1:22">
      <c r="A94" s="61">
        <v>3002</v>
      </c>
      <c r="B94" t="s">
        <v>276</v>
      </c>
      <c r="C94" s="61">
        <v>3.4566257148981094E-2</v>
      </c>
      <c r="D94" s="61">
        <v>5.3292889147996902E-2</v>
      </c>
      <c r="E94" s="61">
        <v>0.38720354437828064</v>
      </c>
      <c r="F94" s="61">
        <v>0.95479905605316162</v>
      </c>
      <c r="G94" s="61">
        <v>1.9974473863840103E-2</v>
      </c>
      <c r="H94" s="61">
        <v>2628574</v>
      </c>
      <c r="I94" s="61">
        <v>4014432</v>
      </c>
      <c r="J94" s="61">
        <v>45313</v>
      </c>
      <c r="K94" s="61">
        <v>2161266</v>
      </c>
      <c r="L94" s="61">
        <v>0</v>
      </c>
      <c r="M94" s="61">
        <v>2773192</v>
      </c>
      <c r="N94" s="61">
        <v>1373858</v>
      </c>
      <c r="O94" s="61">
        <v>21</v>
      </c>
      <c r="P94" s="61">
        <v>0.86285287141799927</v>
      </c>
      <c r="Q94" s="61">
        <v>274067</v>
      </c>
      <c r="R94" s="61">
        <v>3849396</v>
      </c>
      <c r="S94" s="61">
        <v>53130</v>
      </c>
      <c r="T94" s="61">
        <v>83738</v>
      </c>
      <c r="U94" s="61">
        <v>207337</v>
      </c>
      <c r="V94" s="61">
        <v>61491</v>
      </c>
    </row>
    <row r="95" spans="1:22">
      <c r="A95" s="61">
        <v>3003</v>
      </c>
      <c r="B95" t="s">
        <v>277</v>
      </c>
      <c r="C95" s="61">
        <v>3.7740863859653473E-2</v>
      </c>
      <c r="D95" s="61">
        <v>0.13237345218658447</v>
      </c>
      <c r="E95" s="61">
        <v>0.22069483995437622</v>
      </c>
      <c r="F95" s="61">
        <v>0.91918057203292847</v>
      </c>
      <c r="G95" s="61">
        <v>2.309180423617363E-2</v>
      </c>
      <c r="H95" s="61">
        <v>4595450</v>
      </c>
      <c r="I95" s="61">
        <v>4761719</v>
      </c>
      <c r="J95" s="61">
        <v>50033</v>
      </c>
      <c r="K95" s="61">
        <v>2158001</v>
      </c>
      <c r="L95" s="61">
        <v>0</v>
      </c>
      <c r="M95" s="61">
        <v>2465439</v>
      </c>
      <c r="N95" s="61">
        <v>1418403</v>
      </c>
      <c r="O95" s="61">
        <v>8772</v>
      </c>
      <c r="P95" s="61">
        <v>0.77370506525039673</v>
      </c>
      <c r="Q95" s="61">
        <v>356629</v>
      </c>
      <c r="R95" s="61">
        <v>4461381</v>
      </c>
      <c r="S95" s="61">
        <v>121309</v>
      </c>
      <c r="T95" s="61">
        <v>170837</v>
      </c>
      <c r="U95" s="61">
        <v>775457</v>
      </c>
      <c r="V95" s="61">
        <v>63332</v>
      </c>
    </row>
    <row r="96" spans="1:22">
      <c r="A96" s="61">
        <v>3004</v>
      </c>
      <c r="B96" t="s">
        <v>278</v>
      </c>
      <c r="C96" s="61">
        <v>4.0071181952953339E-2</v>
      </c>
      <c r="D96" s="61">
        <v>0.1234850138425827</v>
      </c>
      <c r="E96" s="61">
        <v>0.20670323073863983</v>
      </c>
      <c r="F96" s="61">
        <v>0.94183701276779175</v>
      </c>
      <c r="G96" s="61">
        <v>1.1619598604738712E-2</v>
      </c>
      <c r="H96" s="61">
        <v>7037783</v>
      </c>
      <c r="I96" s="61">
        <v>6659031</v>
      </c>
      <c r="J96" s="61">
        <v>36254</v>
      </c>
      <c r="K96" s="61">
        <v>3379327</v>
      </c>
      <c r="L96" s="61">
        <v>0</v>
      </c>
      <c r="M96" s="61">
        <v>4357433</v>
      </c>
      <c r="N96" s="61">
        <v>2171553</v>
      </c>
      <c r="O96" s="61">
        <v>0</v>
      </c>
      <c r="P96" s="61">
        <v>0.81569200754165649</v>
      </c>
      <c r="Q96" s="61">
        <v>285401</v>
      </c>
      <c r="R96" s="61">
        <v>6362189</v>
      </c>
      <c r="S96" s="61">
        <v>129918</v>
      </c>
      <c r="T96" s="61">
        <v>268250</v>
      </c>
      <c r="U96" s="61">
        <v>646371</v>
      </c>
      <c r="V96" s="61">
        <v>202883</v>
      </c>
    </row>
    <row r="97" spans="1:22">
      <c r="A97" s="61">
        <v>3005</v>
      </c>
      <c r="B97" t="s">
        <v>279</v>
      </c>
      <c r="C97" s="61">
        <v>3.2507110387086868E-2</v>
      </c>
      <c r="D97" s="61">
        <v>9.8861649632453918E-2</v>
      </c>
      <c r="E97" s="61">
        <v>0.28688576817512512</v>
      </c>
      <c r="F97" s="61">
        <v>0.93357986211776733</v>
      </c>
      <c r="G97" s="61">
        <v>4.6817518770694733E-2</v>
      </c>
      <c r="H97" s="61">
        <v>5667117</v>
      </c>
      <c r="I97" s="61">
        <v>7957323</v>
      </c>
      <c r="J97" s="61">
        <v>320016</v>
      </c>
      <c r="K97" s="61">
        <v>6053038</v>
      </c>
      <c r="L97" s="61">
        <v>0</v>
      </c>
      <c r="M97" s="61">
        <v>9687576</v>
      </c>
      <c r="N97" s="61">
        <v>2988879</v>
      </c>
      <c r="O97" s="61">
        <v>0</v>
      </c>
      <c r="P97" s="61">
        <v>0.91229283809661865</v>
      </c>
      <c r="Q97" s="61">
        <v>608776</v>
      </c>
      <c r="R97" s="61">
        <v>7850592</v>
      </c>
      <c r="S97" s="61">
        <v>159639</v>
      </c>
      <c r="T97" s="61">
        <v>204989</v>
      </c>
      <c r="U97" s="61">
        <v>763240</v>
      </c>
      <c r="V97" s="61">
        <v>380097</v>
      </c>
    </row>
    <row r="98" spans="1:22">
      <c r="A98" s="61">
        <v>3006</v>
      </c>
      <c r="B98" t="s">
        <v>280</v>
      </c>
      <c r="C98" s="61">
        <v>3.0742187518626451E-3</v>
      </c>
      <c r="D98" s="61">
        <v>7.9351238906383514E-2</v>
      </c>
      <c r="E98" s="61">
        <v>0.31190314888954163</v>
      </c>
      <c r="F98" s="61">
        <v>0.97367662191390991</v>
      </c>
      <c r="G98" s="61">
        <v>3.2334066927433014E-2</v>
      </c>
      <c r="H98" s="61">
        <v>2637121</v>
      </c>
      <c r="I98" s="61">
        <v>2251485</v>
      </c>
      <c r="J98" s="61">
        <v>83546</v>
      </c>
      <c r="K98" s="61">
        <v>2726471</v>
      </c>
      <c r="L98" s="61">
        <v>0</v>
      </c>
      <c r="M98" s="61">
        <v>1685074</v>
      </c>
      <c r="N98" s="61">
        <v>897704</v>
      </c>
      <c r="O98" s="61">
        <v>2110</v>
      </c>
      <c r="P98" s="61">
        <v>1.0020672082901001</v>
      </c>
      <c r="Q98" s="61">
        <v>103254</v>
      </c>
      <c r="R98" s="61">
        <v>2274648</v>
      </c>
      <c r="S98" s="61">
        <v>36135</v>
      </c>
      <c r="T98" s="61">
        <v>7422</v>
      </c>
      <c r="U98" s="61">
        <v>641473</v>
      </c>
      <c r="V98" s="61">
        <v>153706</v>
      </c>
    </row>
    <row r="99" spans="1:22">
      <c r="A99" s="61">
        <v>3007</v>
      </c>
      <c r="B99" t="s">
        <v>281</v>
      </c>
      <c r="C99" s="61">
        <v>4.442354291677475E-2</v>
      </c>
      <c r="D99" s="61">
        <v>0.12584520876407623</v>
      </c>
      <c r="E99" s="61">
        <v>0.15849471092224121</v>
      </c>
      <c r="F99" s="61">
        <v>0.9231223464012146</v>
      </c>
      <c r="G99" s="61">
        <v>2.8058310970664024E-2</v>
      </c>
      <c r="H99" s="61">
        <v>3331213</v>
      </c>
      <c r="I99" s="61">
        <v>2513949</v>
      </c>
      <c r="J99" s="61">
        <v>45403</v>
      </c>
      <c r="K99" s="61">
        <v>1529720</v>
      </c>
      <c r="L99" s="61">
        <v>0</v>
      </c>
      <c r="M99" s="61">
        <v>1650489</v>
      </c>
      <c r="N99" s="61">
        <v>853860</v>
      </c>
      <c r="O99" s="61">
        <v>655</v>
      </c>
      <c r="P99" s="61">
        <v>0.86235809326171875</v>
      </c>
      <c r="Q99" s="61">
        <v>228002</v>
      </c>
      <c r="R99" s="61">
        <v>2357188</v>
      </c>
      <c r="S99" s="61">
        <v>53882</v>
      </c>
      <c r="T99" s="61">
        <v>125816</v>
      </c>
      <c r="U99" s="61">
        <v>776997</v>
      </c>
      <c r="V99" s="61">
        <v>124028</v>
      </c>
    </row>
    <row r="100" spans="1:22">
      <c r="A100" s="61">
        <v>3011</v>
      </c>
      <c r="B100" t="s">
        <v>282</v>
      </c>
      <c r="C100" s="61">
        <v>5.0327520817518234E-2</v>
      </c>
      <c r="D100" s="61">
        <v>0.17844976484775543</v>
      </c>
      <c r="E100" s="61">
        <v>0.24234560132026672</v>
      </c>
      <c r="F100" s="61">
        <v>0.92510813474655151</v>
      </c>
      <c r="G100" s="61">
        <v>8.9067630469799042E-3</v>
      </c>
      <c r="H100" s="61">
        <v>712312</v>
      </c>
      <c r="I100" s="61">
        <v>470865</v>
      </c>
      <c r="J100" s="61">
        <v>1880</v>
      </c>
      <c r="K100" s="61">
        <v>249994</v>
      </c>
      <c r="L100" s="61">
        <v>0</v>
      </c>
      <c r="M100" s="61">
        <v>384691</v>
      </c>
      <c r="N100" s="61">
        <v>156132</v>
      </c>
      <c r="O100" s="61">
        <v>0</v>
      </c>
      <c r="P100" s="61">
        <v>1.0350587368011475</v>
      </c>
      <c r="Q100" s="61">
        <v>30467</v>
      </c>
      <c r="R100" s="61">
        <v>444074</v>
      </c>
      <c r="S100" s="61">
        <v>10256</v>
      </c>
      <c r="T100" s="61">
        <v>29941</v>
      </c>
      <c r="U100" s="61">
        <v>166639</v>
      </c>
      <c r="V100" s="61">
        <v>33997</v>
      </c>
    </row>
    <row r="101" spans="1:22">
      <c r="A101" s="61">
        <v>3012</v>
      </c>
      <c r="B101" t="s">
        <v>283</v>
      </c>
      <c r="C101" s="61">
        <v>3.9494842290878296E-2</v>
      </c>
      <c r="D101" s="61">
        <v>0.12500785291194916</v>
      </c>
      <c r="E101" s="61">
        <v>0.20539592206478119</v>
      </c>
      <c r="F101" s="61">
        <v>0.92997777462005615</v>
      </c>
      <c r="G101" s="61">
        <v>3.4447591751813889E-2</v>
      </c>
      <c r="H101" s="61">
        <v>156959</v>
      </c>
      <c r="I101" s="61">
        <v>149947</v>
      </c>
      <c r="J101" s="61">
        <v>2388</v>
      </c>
      <c r="K101" s="61">
        <v>57649</v>
      </c>
      <c r="L101" s="61">
        <v>0</v>
      </c>
      <c r="M101" s="61">
        <v>44788</v>
      </c>
      <c r="N101" s="61">
        <v>34854</v>
      </c>
      <c r="O101" s="61">
        <v>78</v>
      </c>
      <c r="P101" s="61">
        <v>0.81403046846389771</v>
      </c>
      <c r="Q101" s="61">
        <v>9564</v>
      </c>
      <c r="R101" s="61">
        <v>134770</v>
      </c>
      <c r="S101" s="61">
        <v>2690</v>
      </c>
      <c r="T101" s="61">
        <v>6411</v>
      </c>
      <c r="U101" s="61">
        <v>12376</v>
      </c>
      <c r="V101" s="61">
        <v>1679</v>
      </c>
    </row>
    <row r="102" spans="1:22">
      <c r="A102" s="61">
        <v>3013</v>
      </c>
      <c r="B102" t="s">
        <v>284</v>
      </c>
      <c r="C102" s="61">
        <v>3.6715000867843628E-2</v>
      </c>
      <c r="D102" s="61">
        <v>9.6189118921756744E-2</v>
      </c>
      <c r="E102" s="61">
        <v>0.29490774869918823</v>
      </c>
      <c r="F102" s="61">
        <v>0.91174733638763428</v>
      </c>
      <c r="G102" s="61">
        <v>1.7824869602918625E-2</v>
      </c>
      <c r="H102" s="61">
        <v>300437</v>
      </c>
      <c r="I102" s="61">
        <v>324452</v>
      </c>
      <c r="J102" s="61">
        <v>3493</v>
      </c>
      <c r="K102" s="61">
        <v>169098</v>
      </c>
      <c r="L102" s="61">
        <v>0</v>
      </c>
      <c r="M102" s="61">
        <v>195071</v>
      </c>
      <c r="N102" s="61">
        <v>91448</v>
      </c>
      <c r="O102" s="61">
        <v>53</v>
      </c>
      <c r="P102" s="61">
        <v>0.78718936443328857</v>
      </c>
      <c r="Q102" s="61">
        <v>66689</v>
      </c>
      <c r="R102" s="61">
        <v>297413</v>
      </c>
      <c r="S102" s="61">
        <v>4379</v>
      </c>
      <c r="T102" s="61">
        <v>10379</v>
      </c>
      <c r="U102" s="61">
        <v>92220</v>
      </c>
      <c r="V102" s="61">
        <v>19287</v>
      </c>
    </row>
    <row r="103" spans="1:22">
      <c r="A103" s="61">
        <v>3014</v>
      </c>
      <c r="B103" t="s">
        <v>285</v>
      </c>
      <c r="C103" s="61">
        <v>3.4297682344913483E-2</v>
      </c>
      <c r="D103" s="61">
        <v>0.11974899470806122</v>
      </c>
      <c r="E103" s="61">
        <v>0.26584756374359131</v>
      </c>
      <c r="F103" s="61">
        <v>0.92937970161437988</v>
      </c>
      <c r="G103" s="61">
        <v>2.3647204041481018E-2</v>
      </c>
      <c r="H103" s="61">
        <v>3404568</v>
      </c>
      <c r="I103" s="61">
        <v>3667780</v>
      </c>
      <c r="J103" s="61">
        <v>33854</v>
      </c>
      <c r="K103" s="61">
        <v>1630056</v>
      </c>
      <c r="L103" s="61">
        <v>0</v>
      </c>
      <c r="M103" s="61">
        <v>1670944</v>
      </c>
      <c r="N103" s="61">
        <v>1151467</v>
      </c>
      <c r="O103" s="61">
        <v>34467</v>
      </c>
      <c r="P103" s="61">
        <v>0.79552704095840454</v>
      </c>
      <c r="Q103" s="61">
        <v>372352</v>
      </c>
      <c r="R103" s="61">
        <v>3346214</v>
      </c>
      <c r="S103" s="61">
        <v>65353</v>
      </c>
      <c r="T103" s="61">
        <v>112302</v>
      </c>
      <c r="U103" s="61">
        <v>433927</v>
      </c>
      <c r="V103" s="61">
        <v>187395</v>
      </c>
    </row>
    <row r="104" spans="1:22">
      <c r="A104" s="61">
        <v>3015</v>
      </c>
      <c r="B104" t="s">
        <v>286</v>
      </c>
      <c r="C104" s="61">
        <v>5.8522120118141174E-2</v>
      </c>
      <c r="D104" s="61">
        <v>0.1195736825466156</v>
      </c>
      <c r="E104" s="61">
        <v>0.17749559879302979</v>
      </c>
      <c r="F104" s="61">
        <v>0.94081312417984009</v>
      </c>
      <c r="G104" s="61">
        <v>1.9275493919849396E-2</v>
      </c>
      <c r="H104" s="61">
        <v>250064</v>
      </c>
      <c r="I104" s="61">
        <v>332435</v>
      </c>
      <c r="J104" s="61">
        <v>3891</v>
      </c>
      <c r="K104" s="61">
        <v>161750</v>
      </c>
      <c r="L104" s="61">
        <v>0</v>
      </c>
      <c r="M104" s="61">
        <v>136665</v>
      </c>
      <c r="N104" s="61">
        <v>93698</v>
      </c>
      <c r="O104" s="61">
        <v>2904</v>
      </c>
      <c r="P104" s="61">
        <v>0.76204317808151245</v>
      </c>
      <c r="Q104" s="61">
        <v>24306</v>
      </c>
      <c r="R104" s="61">
        <v>313022</v>
      </c>
      <c r="S104" s="61">
        <v>3807</v>
      </c>
      <c r="T104" s="61">
        <v>8920</v>
      </c>
      <c r="U104" s="61">
        <v>134084</v>
      </c>
      <c r="V104" s="61">
        <v>18429</v>
      </c>
    </row>
    <row r="105" spans="1:22">
      <c r="A105" s="61">
        <v>3016</v>
      </c>
      <c r="B105" t="s">
        <v>287</v>
      </c>
      <c r="C105" s="61">
        <v>3.6057047545909882E-2</v>
      </c>
      <c r="D105" s="61">
        <v>0.12106694281101227</v>
      </c>
      <c r="E105" s="61">
        <v>0.24901007115840912</v>
      </c>
      <c r="F105" s="61">
        <v>0.91893565654754639</v>
      </c>
      <c r="G105" s="61">
        <v>2.1544976159930229E-2</v>
      </c>
      <c r="H105" s="61">
        <v>783979</v>
      </c>
      <c r="I105" s="61">
        <v>735658</v>
      </c>
      <c r="J105" s="61">
        <v>4545</v>
      </c>
      <c r="K105" s="61">
        <v>313898</v>
      </c>
      <c r="L105" s="61">
        <v>0</v>
      </c>
      <c r="M105" s="61">
        <v>565646</v>
      </c>
      <c r="N105" s="61">
        <v>218725</v>
      </c>
      <c r="O105" s="61">
        <v>8</v>
      </c>
      <c r="P105" s="61">
        <v>0.81994599103927612</v>
      </c>
      <c r="Q105" s="61">
        <v>118397</v>
      </c>
      <c r="R105" s="61">
        <v>690136</v>
      </c>
      <c r="S105" s="61">
        <v>17185</v>
      </c>
      <c r="T105" s="61">
        <v>27719</v>
      </c>
      <c r="U105" s="61">
        <v>66825</v>
      </c>
      <c r="V105" s="61">
        <v>28363</v>
      </c>
    </row>
    <row r="106" spans="1:22">
      <c r="A106" s="61">
        <v>3017</v>
      </c>
      <c r="B106" t="s">
        <v>288</v>
      </c>
      <c r="C106" s="61">
        <v>3.4522153437137604E-2</v>
      </c>
      <c r="D106" s="61">
        <v>9.7387708723545074E-2</v>
      </c>
      <c r="E106" s="61">
        <v>0.28416237235069275</v>
      </c>
      <c r="F106" s="61">
        <v>0.94052755832672119</v>
      </c>
      <c r="G106" s="61">
        <v>1.2532937340438366E-2</v>
      </c>
      <c r="H106" s="61">
        <v>559940</v>
      </c>
      <c r="I106" s="61">
        <v>618259</v>
      </c>
      <c r="J106" s="61">
        <v>3042</v>
      </c>
      <c r="K106" s="61">
        <v>295946</v>
      </c>
      <c r="L106" s="61">
        <v>0</v>
      </c>
      <c r="M106" s="61">
        <v>412055</v>
      </c>
      <c r="N106" s="61">
        <v>208011</v>
      </c>
      <c r="O106" s="61">
        <v>13</v>
      </c>
      <c r="P106" s="61">
        <v>0.85736536979675293</v>
      </c>
      <c r="Q106" s="61">
        <v>63943</v>
      </c>
      <c r="R106" s="61">
        <v>580831</v>
      </c>
      <c r="S106" s="61">
        <v>10050</v>
      </c>
      <c r="T106" s="61">
        <v>19611</v>
      </c>
      <c r="U106" s="61">
        <v>21030</v>
      </c>
      <c r="V106" s="61">
        <v>6268</v>
      </c>
    </row>
    <row r="107" spans="1:22">
      <c r="A107" s="61">
        <v>3018</v>
      </c>
      <c r="B107" t="s">
        <v>532</v>
      </c>
      <c r="C107" s="61">
        <v>5.2628234028816223E-2</v>
      </c>
      <c r="D107" s="61">
        <v>0.10067426413297653</v>
      </c>
      <c r="E107" s="61">
        <v>0.29617980122566223</v>
      </c>
      <c r="F107" s="61">
        <v>0.95432841777801514</v>
      </c>
      <c r="G107" s="61">
        <v>1.864444836974144E-2</v>
      </c>
      <c r="H107" s="61">
        <v>289788</v>
      </c>
      <c r="I107" s="61">
        <v>461301</v>
      </c>
      <c r="J107" s="61">
        <v>4095</v>
      </c>
      <c r="K107" s="61">
        <v>163610</v>
      </c>
      <c r="L107" s="61">
        <v>0</v>
      </c>
      <c r="M107" s="61">
        <v>246148</v>
      </c>
      <c r="N107" s="61">
        <v>154965</v>
      </c>
      <c r="O107" s="61">
        <v>10</v>
      </c>
      <c r="P107" s="61">
        <v>0.83604258298873901</v>
      </c>
      <c r="Q107" s="61">
        <v>44695</v>
      </c>
      <c r="R107" s="61">
        <v>463381</v>
      </c>
      <c r="S107" s="61">
        <v>5772</v>
      </c>
      <c r="T107" s="61">
        <v>13254</v>
      </c>
      <c r="U107" s="61">
        <v>65368</v>
      </c>
      <c r="V107" s="61">
        <v>14285</v>
      </c>
    </row>
    <row r="108" spans="1:22">
      <c r="A108" s="61">
        <v>3019</v>
      </c>
      <c r="B108" t="s">
        <v>289</v>
      </c>
      <c r="C108" s="61">
        <v>3.2761059701442719E-2</v>
      </c>
      <c r="D108" s="61">
        <v>0.26312831044197083</v>
      </c>
      <c r="E108" s="61">
        <v>0.22697606682777405</v>
      </c>
      <c r="F108" s="61">
        <v>0.89820325374603271</v>
      </c>
      <c r="G108" s="61">
        <v>1.2956309132277966E-2</v>
      </c>
      <c r="H108" s="61">
        <v>1759477</v>
      </c>
      <c r="I108" s="61">
        <v>1393494</v>
      </c>
      <c r="J108" s="61">
        <v>9456</v>
      </c>
      <c r="K108" s="61">
        <v>744831</v>
      </c>
      <c r="L108" s="61">
        <v>0</v>
      </c>
      <c r="M108" s="61">
        <v>1130140</v>
      </c>
      <c r="N108" s="61">
        <v>542945</v>
      </c>
      <c r="O108" s="61">
        <v>0</v>
      </c>
      <c r="P108" s="61">
        <v>0.93126881122589111</v>
      </c>
      <c r="Q108" s="61">
        <v>272200</v>
      </c>
      <c r="R108" s="61">
        <v>1291675</v>
      </c>
      <c r="S108" s="61">
        <v>27887</v>
      </c>
      <c r="T108" s="61">
        <v>57293</v>
      </c>
      <c r="U108" s="61">
        <v>331088</v>
      </c>
      <c r="V108" s="61">
        <v>52756</v>
      </c>
    </row>
    <row r="109" spans="1:22">
      <c r="A109" s="61">
        <v>3020</v>
      </c>
      <c r="B109" t="s">
        <v>290</v>
      </c>
      <c r="C109" s="61">
        <v>3.2002083957195282E-2</v>
      </c>
      <c r="D109" s="61">
        <v>0.17418405413627625</v>
      </c>
      <c r="E109" s="61">
        <v>0.21897886693477631</v>
      </c>
      <c r="F109" s="61">
        <v>0.92323476076126099</v>
      </c>
      <c r="G109" s="61">
        <v>1.4292451553046703E-2</v>
      </c>
      <c r="H109" s="61">
        <v>7052102</v>
      </c>
      <c r="I109" s="61">
        <v>4935658</v>
      </c>
      <c r="J109" s="61">
        <v>30490</v>
      </c>
      <c r="K109" s="61">
        <v>2328892</v>
      </c>
      <c r="L109" s="61">
        <v>0</v>
      </c>
      <c r="M109" s="61">
        <v>4182905</v>
      </c>
      <c r="N109" s="61">
        <v>2090650</v>
      </c>
      <c r="O109" s="61">
        <v>0</v>
      </c>
      <c r="P109" s="61">
        <v>1.0912353992462158</v>
      </c>
      <c r="Q109" s="61">
        <v>546638</v>
      </c>
      <c r="R109" s="61">
        <v>4598555</v>
      </c>
      <c r="S109" s="61">
        <v>121213</v>
      </c>
      <c r="T109" s="61">
        <v>202080</v>
      </c>
      <c r="U109" s="61">
        <v>974386</v>
      </c>
      <c r="V109" s="61">
        <v>213392</v>
      </c>
    </row>
    <row r="110" spans="1:22">
      <c r="A110" s="61">
        <v>3021</v>
      </c>
      <c r="B110" t="s">
        <v>291</v>
      </c>
      <c r="C110" s="61">
        <v>3.9538700133562088E-2</v>
      </c>
      <c r="D110" s="61">
        <v>0.16060748696327209</v>
      </c>
      <c r="E110" s="61">
        <v>0.24405616521835327</v>
      </c>
      <c r="F110" s="61">
        <v>0.92037200927734375</v>
      </c>
      <c r="G110" s="61">
        <v>2.268289215862751E-2</v>
      </c>
      <c r="H110" s="61">
        <v>2196083</v>
      </c>
      <c r="I110" s="61">
        <v>1564460</v>
      </c>
      <c r="J110" s="61">
        <v>22265</v>
      </c>
      <c r="K110" s="61">
        <v>1044266</v>
      </c>
      <c r="L110" s="61">
        <v>0</v>
      </c>
      <c r="M110" s="61">
        <v>1505592</v>
      </c>
      <c r="N110" s="61">
        <v>595414</v>
      </c>
      <c r="O110" s="61">
        <v>0</v>
      </c>
      <c r="P110" s="61">
        <v>0.90149497985839844</v>
      </c>
      <c r="Q110" s="61">
        <v>120516</v>
      </c>
      <c r="R110" s="61">
        <v>1454497</v>
      </c>
      <c r="S110" s="61">
        <v>44452</v>
      </c>
      <c r="T110" s="61">
        <v>82684</v>
      </c>
      <c r="U110" s="61">
        <v>317774</v>
      </c>
      <c r="V110" s="61">
        <v>70132</v>
      </c>
    </row>
    <row r="111" spans="1:22">
      <c r="A111" s="61">
        <v>3022</v>
      </c>
      <c r="B111" t="s">
        <v>292</v>
      </c>
      <c r="C111" s="61">
        <v>2.7107926085591316E-2</v>
      </c>
      <c r="D111" s="61">
        <v>0.19753149151802063</v>
      </c>
      <c r="E111" s="61">
        <v>0.25991857051849365</v>
      </c>
      <c r="F111" s="61">
        <v>0.94018638134002686</v>
      </c>
      <c r="G111" s="61">
        <v>8.321734145283699E-3</v>
      </c>
      <c r="H111" s="61">
        <v>2206822</v>
      </c>
      <c r="I111" s="61">
        <v>1268490</v>
      </c>
      <c r="J111" s="61">
        <v>7470</v>
      </c>
      <c r="K111" s="61">
        <v>691674</v>
      </c>
      <c r="L111" s="61">
        <v>0</v>
      </c>
      <c r="M111" s="61">
        <v>1612952</v>
      </c>
      <c r="N111" s="61">
        <v>595713</v>
      </c>
      <c r="O111" s="61">
        <v>0</v>
      </c>
      <c r="P111" s="61">
        <v>1.1611077785491943</v>
      </c>
      <c r="Q111" s="61">
        <v>38560</v>
      </c>
      <c r="R111" s="61">
        <v>1221444</v>
      </c>
      <c r="S111" s="61">
        <v>30353</v>
      </c>
      <c r="T111" s="61">
        <v>56131</v>
      </c>
      <c r="U111" s="61">
        <v>220689</v>
      </c>
      <c r="V111" s="61">
        <v>17496</v>
      </c>
    </row>
    <row r="112" spans="1:22">
      <c r="A112" s="61">
        <v>3023</v>
      </c>
      <c r="B112" t="s">
        <v>293</v>
      </c>
      <c r="C112" s="61">
        <v>3.5924199968576431E-2</v>
      </c>
      <c r="D112" s="61">
        <v>0.16061593592166901</v>
      </c>
      <c r="E112" s="61">
        <v>0.26591858267784119</v>
      </c>
      <c r="F112" s="61">
        <v>0.92667597532272339</v>
      </c>
      <c r="G112" s="61">
        <v>1.2761908583343029E-2</v>
      </c>
      <c r="H112" s="61">
        <v>1593710</v>
      </c>
      <c r="I112" s="61">
        <v>1511001</v>
      </c>
      <c r="J112" s="61">
        <v>6690</v>
      </c>
      <c r="K112" s="61">
        <v>574403</v>
      </c>
      <c r="L112" s="61">
        <v>0</v>
      </c>
      <c r="M112" s="61">
        <v>882586</v>
      </c>
      <c r="N112" s="61">
        <v>634158</v>
      </c>
      <c r="O112" s="61">
        <v>0</v>
      </c>
      <c r="P112" s="61">
        <v>1.0004397630691528</v>
      </c>
      <c r="Q112" s="61">
        <v>154132</v>
      </c>
      <c r="R112" s="61">
        <v>1411032</v>
      </c>
      <c r="S112" s="61">
        <v>25011</v>
      </c>
      <c r="T112" s="61">
        <v>51182</v>
      </c>
      <c r="U112" s="61">
        <v>259560</v>
      </c>
      <c r="V112" s="61">
        <v>116961</v>
      </c>
    </row>
    <row r="113" spans="1:22">
      <c r="A113" s="61">
        <v>3024</v>
      </c>
      <c r="B113" t="s">
        <v>294</v>
      </c>
      <c r="C113" s="61">
        <v>4.704730212688446E-2</v>
      </c>
      <c r="D113" s="61">
        <v>0.16963298618793488</v>
      </c>
      <c r="E113" s="61">
        <v>0.27818864583969116</v>
      </c>
      <c r="F113" s="61">
        <v>0.88729846477508545</v>
      </c>
      <c r="G113" s="61">
        <v>1.4012889936566353E-2</v>
      </c>
      <c r="H113" s="61">
        <v>10224553</v>
      </c>
      <c r="I113" s="61">
        <v>11430519</v>
      </c>
      <c r="J113" s="61">
        <v>97540</v>
      </c>
      <c r="K113" s="61">
        <v>9343369</v>
      </c>
      <c r="L113" s="61">
        <v>0</v>
      </c>
      <c r="M113" s="61">
        <v>5952984</v>
      </c>
      <c r="N113" s="61">
        <v>6525561</v>
      </c>
      <c r="O113" s="61">
        <v>0</v>
      </c>
      <c r="P113" s="61">
        <v>1.5809766054153442</v>
      </c>
      <c r="Q113" s="61">
        <v>3503520</v>
      </c>
      <c r="R113" s="61">
        <v>10440228</v>
      </c>
      <c r="S113" s="61">
        <v>197849</v>
      </c>
      <c r="T113" s="61">
        <v>390163</v>
      </c>
      <c r="U113" s="61">
        <v>2794786</v>
      </c>
      <c r="V113" s="61">
        <v>1133474</v>
      </c>
    </row>
    <row r="114" spans="1:22">
      <c r="A114" s="61">
        <v>3025</v>
      </c>
      <c r="B114" t="s">
        <v>295</v>
      </c>
      <c r="C114" s="61">
        <v>3.8449056446552277E-2</v>
      </c>
      <c r="D114" s="61">
        <v>0.14651760458946228</v>
      </c>
      <c r="E114" s="61">
        <v>0.27872833609580994</v>
      </c>
      <c r="F114" s="61">
        <v>0.91366523504257202</v>
      </c>
      <c r="G114" s="61">
        <v>2.613634429872036E-2</v>
      </c>
      <c r="H114" s="61">
        <v>8497479</v>
      </c>
      <c r="I114" s="61">
        <v>8002395</v>
      </c>
      <c r="J114" s="61">
        <v>100448</v>
      </c>
      <c r="K114" s="61">
        <v>6107479</v>
      </c>
      <c r="L114" s="61">
        <v>0</v>
      </c>
      <c r="M114" s="61">
        <v>4242846</v>
      </c>
      <c r="N114" s="61">
        <v>3964877</v>
      </c>
      <c r="O114" s="61">
        <v>0</v>
      </c>
      <c r="P114" s="61">
        <v>1.2991911172866821</v>
      </c>
      <c r="Q114" s="61">
        <v>1448730</v>
      </c>
      <c r="R114" s="61">
        <v>7483233</v>
      </c>
      <c r="S114" s="61">
        <v>191156</v>
      </c>
      <c r="T114" s="61">
        <v>264215</v>
      </c>
      <c r="U114" s="61">
        <v>1816001</v>
      </c>
      <c r="V114" s="61">
        <v>395623</v>
      </c>
    </row>
    <row r="115" spans="1:22">
      <c r="A115" s="61">
        <v>3026</v>
      </c>
      <c r="B115" t="s">
        <v>296</v>
      </c>
      <c r="C115" s="61">
        <v>3.9930146187543869E-2</v>
      </c>
      <c r="D115" s="61">
        <v>0.14290225505828857</v>
      </c>
      <c r="E115" s="61">
        <v>0.22545598447322845</v>
      </c>
      <c r="F115" s="61">
        <v>0.90513074398040771</v>
      </c>
      <c r="G115" s="61">
        <v>1.8460962921380997E-2</v>
      </c>
      <c r="H115" s="61">
        <v>1384754</v>
      </c>
      <c r="I115" s="61">
        <v>1383350</v>
      </c>
      <c r="J115" s="61">
        <v>10496</v>
      </c>
      <c r="K115" s="61">
        <v>662377</v>
      </c>
      <c r="L115" s="61">
        <v>0</v>
      </c>
      <c r="M115" s="61">
        <v>816767</v>
      </c>
      <c r="N115" s="61">
        <v>432758</v>
      </c>
      <c r="O115" s="61">
        <v>0</v>
      </c>
      <c r="P115" s="61">
        <v>0.77010411024093628</v>
      </c>
      <c r="Q115" s="61">
        <v>166659</v>
      </c>
      <c r="R115" s="61">
        <v>1245384</v>
      </c>
      <c r="S115" s="61">
        <v>24762</v>
      </c>
      <c r="T115" s="61">
        <v>55083</v>
      </c>
      <c r="U115" s="61">
        <v>151234</v>
      </c>
      <c r="V115" s="61">
        <v>61608</v>
      </c>
    </row>
    <row r="116" spans="1:22">
      <c r="A116" s="61">
        <v>3027</v>
      </c>
      <c r="B116" t="s">
        <v>297</v>
      </c>
      <c r="C116" s="61">
        <v>3.4832019358873367E-2</v>
      </c>
      <c r="D116" s="61">
        <v>0.18579603731632233</v>
      </c>
      <c r="E116" s="61">
        <v>0.22928033769130707</v>
      </c>
      <c r="F116" s="61">
        <v>0.9196736216545105</v>
      </c>
      <c r="G116" s="61">
        <v>1.3902714475989342E-2</v>
      </c>
      <c r="H116" s="61">
        <v>2010256</v>
      </c>
      <c r="I116" s="61">
        <v>1436554</v>
      </c>
      <c r="J116" s="61">
        <v>6744</v>
      </c>
      <c r="K116" s="61">
        <v>684945</v>
      </c>
      <c r="L116" s="61">
        <v>0</v>
      </c>
      <c r="M116" s="61">
        <v>1636689</v>
      </c>
      <c r="N116" s="61">
        <v>586828</v>
      </c>
      <c r="O116" s="61">
        <v>0</v>
      </c>
      <c r="P116" s="61">
        <v>0.9800298810005188</v>
      </c>
      <c r="Q116" s="61">
        <v>134211</v>
      </c>
      <c r="R116" s="61">
        <v>1315370</v>
      </c>
      <c r="S116" s="61">
        <v>34918</v>
      </c>
      <c r="T116" s="61">
        <v>64075</v>
      </c>
      <c r="U116" s="61">
        <v>317155</v>
      </c>
      <c r="V116" s="61">
        <v>52231</v>
      </c>
    </row>
    <row r="117" spans="1:22">
      <c r="A117" s="61">
        <v>3028</v>
      </c>
      <c r="B117" t="s">
        <v>298</v>
      </c>
      <c r="C117" s="61">
        <v>3.2351963222026825E-2</v>
      </c>
      <c r="D117" s="61">
        <v>0.16425681114196777</v>
      </c>
      <c r="E117" s="61">
        <v>0.23171250522136688</v>
      </c>
      <c r="F117" s="61">
        <v>0.91826635599136353</v>
      </c>
      <c r="G117" s="61">
        <v>1.5578030608594418E-2</v>
      </c>
      <c r="H117" s="61">
        <v>1174171</v>
      </c>
      <c r="I117" s="61">
        <v>826566</v>
      </c>
      <c r="J117" s="61">
        <v>7086</v>
      </c>
      <c r="K117" s="61">
        <v>536444</v>
      </c>
      <c r="L117" s="61">
        <v>0</v>
      </c>
      <c r="M117" s="61">
        <v>878127</v>
      </c>
      <c r="N117" s="61">
        <v>291255</v>
      </c>
      <c r="O117" s="61">
        <v>102</v>
      </c>
      <c r="P117" s="61">
        <v>0.81126594543457031</v>
      </c>
      <c r="Q117" s="61">
        <v>130645</v>
      </c>
      <c r="R117" s="61">
        <v>764230</v>
      </c>
      <c r="S117" s="61">
        <v>25089</v>
      </c>
      <c r="T117" s="61">
        <v>39000</v>
      </c>
      <c r="U117" s="61">
        <v>79846</v>
      </c>
      <c r="V117" s="61">
        <v>31747</v>
      </c>
    </row>
    <row r="118" spans="1:22">
      <c r="A118" s="61">
        <v>3029</v>
      </c>
      <c r="B118" t="s">
        <v>299</v>
      </c>
      <c r="C118" s="61">
        <v>3.3086959272623062E-2</v>
      </c>
      <c r="D118" s="61">
        <v>0.21161371469497681</v>
      </c>
      <c r="E118" s="61">
        <v>0.25543099641799927</v>
      </c>
      <c r="F118" s="61">
        <v>0.89820337295532227</v>
      </c>
      <c r="G118" s="61">
        <v>1.9305024296045303E-2</v>
      </c>
      <c r="H118" s="61">
        <v>4670491</v>
      </c>
      <c r="I118" s="61">
        <v>3274813</v>
      </c>
      <c r="J118" s="61">
        <v>26316</v>
      </c>
      <c r="K118" s="61">
        <v>1765834</v>
      </c>
      <c r="L118" s="61">
        <v>0</v>
      </c>
      <c r="M118" s="61">
        <v>3845578</v>
      </c>
      <c r="N118" s="61">
        <v>1334723</v>
      </c>
      <c r="O118" s="61">
        <v>0</v>
      </c>
      <c r="P118" s="61">
        <v>0.99624407291412354</v>
      </c>
      <c r="Q118" s="61">
        <v>326840</v>
      </c>
      <c r="R118" s="61">
        <v>2976896</v>
      </c>
      <c r="S118" s="61">
        <v>113977</v>
      </c>
      <c r="T118" s="61">
        <v>134986</v>
      </c>
      <c r="U118" s="61">
        <v>1177348</v>
      </c>
      <c r="V118" s="61">
        <v>358289</v>
      </c>
    </row>
    <row r="119" spans="1:22">
      <c r="A119" s="61">
        <v>3030</v>
      </c>
      <c r="B119" t="s">
        <v>300</v>
      </c>
      <c r="C119" s="61">
        <v>3.52356918156147E-2</v>
      </c>
      <c r="D119" s="61">
        <v>0.12745575606822968</v>
      </c>
      <c r="E119" s="61">
        <v>0.26497155427932739</v>
      </c>
      <c r="F119" s="61">
        <v>0.9259224534034729</v>
      </c>
      <c r="G119" s="61">
        <v>1.547725684940815E-2</v>
      </c>
      <c r="H119" s="61">
        <v>6993217</v>
      </c>
      <c r="I119" s="61">
        <v>6784384</v>
      </c>
      <c r="J119" s="61">
        <v>42343</v>
      </c>
      <c r="K119" s="61">
        <v>3613290</v>
      </c>
      <c r="L119" s="61">
        <v>0</v>
      </c>
      <c r="M119" s="61">
        <v>5533575</v>
      </c>
      <c r="N119" s="61">
        <v>2702673</v>
      </c>
      <c r="O119" s="61">
        <v>7493</v>
      </c>
      <c r="P119" s="61">
        <v>0.97271323204040527</v>
      </c>
      <c r="Q119" s="61">
        <v>736550</v>
      </c>
      <c r="R119" s="61">
        <v>6173221</v>
      </c>
      <c r="S119" s="61">
        <v>106993</v>
      </c>
      <c r="T119" s="61">
        <v>234700</v>
      </c>
      <c r="U119" s="61">
        <v>1006819</v>
      </c>
      <c r="V119" s="61">
        <v>352895</v>
      </c>
    </row>
    <row r="120" spans="1:22">
      <c r="A120" s="61">
        <v>3031</v>
      </c>
      <c r="B120" t="s">
        <v>301</v>
      </c>
      <c r="C120" s="61">
        <v>1.3649490661919117E-2</v>
      </c>
      <c r="D120" s="61">
        <v>9.0931721031665802E-2</v>
      </c>
      <c r="E120" s="61">
        <v>0.29375985264778137</v>
      </c>
      <c r="F120" s="61">
        <v>0.93754905462265015</v>
      </c>
      <c r="G120" s="61">
        <v>0.81047576665878296</v>
      </c>
      <c r="H120" s="61">
        <v>2307014</v>
      </c>
      <c r="I120" s="61">
        <v>1903595</v>
      </c>
      <c r="J120" s="61">
        <v>38105</v>
      </c>
      <c r="K120" s="61">
        <v>-427148</v>
      </c>
      <c r="L120" s="61">
        <v>0</v>
      </c>
      <c r="M120" s="61">
        <v>1525346</v>
      </c>
      <c r="N120" s="61">
        <v>791727</v>
      </c>
      <c r="O120" s="61">
        <v>0</v>
      </c>
      <c r="P120" s="61">
        <v>1.010381817817688</v>
      </c>
      <c r="Q120" s="61">
        <v>272729</v>
      </c>
      <c r="R120" s="61">
        <v>1806828</v>
      </c>
      <c r="S120" s="61">
        <v>37017</v>
      </c>
      <c r="T120" s="61">
        <v>26099</v>
      </c>
      <c r="U120" s="61">
        <v>509344</v>
      </c>
      <c r="V120" s="61">
        <v>41277</v>
      </c>
    </row>
    <row r="121" spans="1:22">
      <c r="A121" s="61">
        <v>3032</v>
      </c>
      <c r="B121" t="s">
        <v>302</v>
      </c>
      <c r="C121" s="61">
        <v>4.0066830813884735E-2</v>
      </c>
      <c r="D121" s="61">
        <v>0.12754130363464355</v>
      </c>
      <c r="E121" s="61">
        <v>0.29595544934272766</v>
      </c>
      <c r="F121" s="61">
        <v>0.89994287490844727</v>
      </c>
      <c r="G121" s="61">
        <v>2.4379080161452293E-2</v>
      </c>
      <c r="H121" s="61">
        <v>506545</v>
      </c>
      <c r="I121" s="61">
        <v>533463</v>
      </c>
      <c r="J121" s="61">
        <v>6764</v>
      </c>
      <c r="K121" s="61">
        <v>432859</v>
      </c>
      <c r="L121" s="61">
        <v>0</v>
      </c>
      <c r="M121" s="61">
        <v>372942</v>
      </c>
      <c r="N121" s="61">
        <v>233230</v>
      </c>
      <c r="O121" s="61">
        <v>0</v>
      </c>
      <c r="P121" s="61">
        <v>1.0475363731384277</v>
      </c>
      <c r="Q121" s="61">
        <v>180009</v>
      </c>
      <c r="R121" s="61">
        <v>497831</v>
      </c>
      <c r="S121" s="61">
        <v>10465</v>
      </c>
      <c r="T121" s="61">
        <v>20000</v>
      </c>
      <c r="U121" s="61">
        <v>27643</v>
      </c>
      <c r="V121" s="61">
        <v>1630</v>
      </c>
    </row>
    <row r="122" spans="1:22">
      <c r="A122" s="61">
        <v>3033</v>
      </c>
      <c r="B122" t="s">
        <v>303</v>
      </c>
      <c r="C122" s="61">
        <v>3.4532304853200912E-2</v>
      </c>
      <c r="D122" s="61">
        <v>0.20966154336929321</v>
      </c>
      <c r="E122" s="61">
        <v>0.2429848313331604</v>
      </c>
      <c r="F122" s="61">
        <v>0.91008979082107544</v>
      </c>
      <c r="G122" s="61">
        <v>1.0742391459643841E-2</v>
      </c>
      <c r="H122" s="61">
        <v>5337353</v>
      </c>
      <c r="I122" s="61">
        <v>3100099</v>
      </c>
      <c r="J122" s="61">
        <v>16187</v>
      </c>
      <c r="K122" s="61">
        <v>1662363</v>
      </c>
      <c r="L122" s="61">
        <v>0</v>
      </c>
      <c r="M122" s="61">
        <v>3466809</v>
      </c>
      <c r="N122" s="61">
        <v>1137725</v>
      </c>
      <c r="O122" s="61">
        <v>0</v>
      </c>
      <c r="P122" s="61">
        <v>0.88852965831756592</v>
      </c>
      <c r="Q122" s="61">
        <v>107071</v>
      </c>
      <c r="R122" s="61">
        <v>2789290</v>
      </c>
      <c r="S122" s="61">
        <v>110630</v>
      </c>
      <c r="T122" s="61">
        <v>169794</v>
      </c>
      <c r="U122" s="61">
        <v>679207</v>
      </c>
      <c r="V122" s="61">
        <v>139817</v>
      </c>
    </row>
    <row r="123" spans="1:22">
      <c r="A123" s="61">
        <v>3034</v>
      </c>
      <c r="B123" t="s">
        <v>304</v>
      </c>
      <c r="C123" s="61">
        <v>3.9229601621627808E-2</v>
      </c>
      <c r="D123" s="61">
        <v>0.1070244088768959</v>
      </c>
      <c r="E123" s="61">
        <v>0.1924673467874527</v>
      </c>
      <c r="F123" s="61">
        <v>0.93774968385696411</v>
      </c>
      <c r="G123" s="61">
        <v>1.325689721852541E-2</v>
      </c>
      <c r="H123" s="61">
        <v>1655443</v>
      </c>
      <c r="I123" s="61">
        <v>1681533</v>
      </c>
      <c r="J123" s="61">
        <v>8742</v>
      </c>
      <c r="K123" s="61">
        <v>890309</v>
      </c>
      <c r="L123" s="61">
        <v>0</v>
      </c>
      <c r="M123" s="61">
        <v>896155</v>
      </c>
      <c r="N123" s="61">
        <v>597628</v>
      </c>
      <c r="O123" s="61">
        <v>3114</v>
      </c>
      <c r="P123" s="61">
        <v>0.80089080333709717</v>
      </c>
      <c r="Q123" s="61">
        <v>252190</v>
      </c>
      <c r="R123" s="61">
        <v>1526749</v>
      </c>
      <c r="S123" s="61">
        <v>23843</v>
      </c>
      <c r="T123" s="61">
        <v>54166</v>
      </c>
      <c r="U123" s="61">
        <v>330304</v>
      </c>
      <c r="V123" s="61">
        <v>59589</v>
      </c>
    </row>
    <row r="124" spans="1:22">
      <c r="A124" s="61">
        <v>3035</v>
      </c>
      <c r="B124" t="s">
        <v>305</v>
      </c>
      <c r="C124" s="61">
        <v>3.568648174405098E-2</v>
      </c>
      <c r="D124" s="61">
        <v>0.12466526031494141</v>
      </c>
      <c r="E124" s="61">
        <v>0.19679771363735199</v>
      </c>
      <c r="F124" s="61">
        <v>0.93464738130569458</v>
      </c>
      <c r="G124" s="61">
        <v>1.2191531248390675E-2</v>
      </c>
      <c r="H124" s="61">
        <v>2392294</v>
      </c>
      <c r="I124" s="61">
        <v>1922862</v>
      </c>
      <c r="J124" s="61">
        <v>14496</v>
      </c>
      <c r="K124" s="61">
        <v>1379651</v>
      </c>
      <c r="L124" s="61">
        <v>0</v>
      </c>
      <c r="M124" s="61">
        <v>1243412</v>
      </c>
      <c r="N124" s="61">
        <v>638026</v>
      </c>
      <c r="O124" s="61">
        <v>430</v>
      </c>
      <c r="P124" s="61">
        <v>0.77623546123504639</v>
      </c>
      <c r="Q124" s="61">
        <v>333520</v>
      </c>
      <c r="R124" s="61">
        <v>1813015</v>
      </c>
      <c r="S124" s="61">
        <v>35446</v>
      </c>
      <c r="T124" s="61">
        <v>79207</v>
      </c>
      <c r="U124" s="61">
        <v>220576</v>
      </c>
      <c r="V124" s="61">
        <v>45000</v>
      </c>
    </row>
    <row r="125" spans="1:22">
      <c r="A125" s="61">
        <v>3036</v>
      </c>
      <c r="B125" t="s">
        <v>306</v>
      </c>
      <c r="C125" s="61">
        <v>3.6720909178256989E-2</v>
      </c>
      <c r="D125" s="61">
        <v>0.12162217497825623</v>
      </c>
      <c r="E125" s="61">
        <v>0.30717524886131287</v>
      </c>
      <c r="F125" s="61">
        <v>0.89960157871246338</v>
      </c>
      <c r="G125" s="61">
        <v>5.8234226889908314E-3</v>
      </c>
      <c r="H125" s="61">
        <v>1249183</v>
      </c>
      <c r="I125" s="61">
        <v>1046855</v>
      </c>
      <c r="J125" s="61">
        <v>3969</v>
      </c>
      <c r="K125" s="61">
        <v>754269</v>
      </c>
      <c r="L125" s="61">
        <v>0</v>
      </c>
      <c r="M125" s="61">
        <v>724022</v>
      </c>
      <c r="N125" s="61">
        <v>367069</v>
      </c>
      <c r="O125" s="61">
        <v>10</v>
      </c>
      <c r="P125" s="61">
        <v>0.80340200662612915</v>
      </c>
      <c r="Q125" s="61">
        <v>267918</v>
      </c>
      <c r="R125" s="61">
        <v>942075</v>
      </c>
      <c r="S125" s="61">
        <v>30240</v>
      </c>
      <c r="T125" s="61">
        <v>43426</v>
      </c>
      <c r="U125" s="61">
        <v>95639</v>
      </c>
      <c r="V125" s="61">
        <v>29806</v>
      </c>
    </row>
    <row r="126" spans="1:22">
      <c r="A126" s="61">
        <v>3037</v>
      </c>
      <c r="B126" t="s">
        <v>307</v>
      </c>
      <c r="C126" s="61">
        <v>3.0812738463282585E-2</v>
      </c>
      <c r="D126" s="61">
        <v>0.13184981048107147</v>
      </c>
      <c r="E126" s="61">
        <v>0.2134498655796051</v>
      </c>
      <c r="F126" s="61">
        <v>0.94591224193572998</v>
      </c>
      <c r="G126" s="61">
        <v>1.1151115410029888E-2</v>
      </c>
      <c r="H126" s="61">
        <v>252040</v>
      </c>
      <c r="I126" s="61">
        <v>260913</v>
      </c>
      <c r="J126" s="61">
        <v>1101</v>
      </c>
      <c r="K126" s="61">
        <v>116839</v>
      </c>
      <c r="L126" s="61">
        <v>0</v>
      </c>
      <c r="M126" s="61">
        <v>153069</v>
      </c>
      <c r="N126" s="61">
        <v>67696</v>
      </c>
      <c r="O126" s="61">
        <v>19</v>
      </c>
      <c r="P126" s="61">
        <v>0.73402851819992065</v>
      </c>
      <c r="Q126" s="61">
        <v>13854</v>
      </c>
      <c r="R126" s="61">
        <v>241153</v>
      </c>
      <c r="S126" s="61">
        <v>3946</v>
      </c>
      <c r="T126" s="61">
        <v>7300</v>
      </c>
      <c r="U126" s="61">
        <v>23144</v>
      </c>
      <c r="V126" s="61">
        <v>1861</v>
      </c>
    </row>
    <row r="127" spans="1:22">
      <c r="A127" s="61">
        <v>3038</v>
      </c>
      <c r="B127" t="s">
        <v>308</v>
      </c>
      <c r="C127" s="61">
        <v>4.7989990562200546E-2</v>
      </c>
      <c r="D127" s="61">
        <v>9.3482717871665955E-2</v>
      </c>
      <c r="E127" s="61">
        <v>0.285135418176651</v>
      </c>
      <c r="F127" s="61">
        <v>0.9098169207572937</v>
      </c>
      <c r="G127" s="61">
        <v>3.1465958803892136E-2</v>
      </c>
      <c r="H127" s="61">
        <v>379643</v>
      </c>
      <c r="I127" s="61">
        <v>567129</v>
      </c>
      <c r="J127" s="61">
        <v>6973</v>
      </c>
      <c r="K127" s="61">
        <v>230721</v>
      </c>
      <c r="L127" s="61">
        <v>0</v>
      </c>
      <c r="M127" s="61">
        <v>254844</v>
      </c>
      <c r="N127" s="61">
        <v>245135</v>
      </c>
      <c r="O127" s="61">
        <v>0</v>
      </c>
      <c r="P127" s="61">
        <v>1.1157430410385132</v>
      </c>
      <c r="Q127" s="61">
        <v>67895</v>
      </c>
      <c r="R127" s="61">
        <v>522855</v>
      </c>
      <c r="S127" s="61">
        <v>5958</v>
      </c>
      <c r="T127" s="61">
        <v>18414</v>
      </c>
      <c r="U127" s="61">
        <v>44688</v>
      </c>
      <c r="V127" s="61">
        <v>19180</v>
      </c>
    </row>
    <row r="128" spans="1:22">
      <c r="A128" s="61">
        <v>3039</v>
      </c>
      <c r="B128" t="s">
        <v>309</v>
      </c>
      <c r="C128" s="61">
        <v>3.9259810000658035E-2</v>
      </c>
      <c r="D128" s="61">
        <v>0.19691665470600128</v>
      </c>
      <c r="E128" s="61">
        <v>0.5019075870513916</v>
      </c>
      <c r="F128" s="61">
        <v>0.92387098073959351</v>
      </c>
      <c r="G128" s="61">
        <v>1.1484232731163502E-2</v>
      </c>
      <c r="H128" s="61">
        <v>128375</v>
      </c>
      <c r="I128" s="61">
        <v>154700</v>
      </c>
      <c r="J128" s="61">
        <v>758</v>
      </c>
      <c r="K128" s="61">
        <v>78648</v>
      </c>
      <c r="L128" s="61">
        <v>0</v>
      </c>
      <c r="M128" s="61">
        <v>98234</v>
      </c>
      <c r="N128" s="61">
        <v>33281</v>
      </c>
      <c r="O128" s="61">
        <v>3024</v>
      </c>
      <c r="P128" s="61">
        <v>0.98086893558502197</v>
      </c>
      <c r="Q128" s="61">
        <v>18895</v>
      </c>
      <c r="R128" s="61">
        <v>143375</v>
      </c>
      <c r="S128" s="61">
        <v>1753</v>
      </c>
      <c r="T128" s="61">
        <v>4606</v>
      </c>
      <c r="U128" s="61">
        <v>101072</v>
      </c>
      <c r="V128" s="61">
        <v>80717</v>
      </c>
    </row>
    <row r="129" spans="1:22">
      <c r="A129" s="61">
        <v>3040</v>
      </c>
      <c r="B129" t="s">
        <v>310</v>
      </c>
      <c r="C129" s="61">
        <v>3.282451257109642E-2</v>
      </c>
      <c r="D129" s="61">
        <v>0.11234858632087708</v>
      </c>
      <c r="E129" s="61">
        <v>0.27108880877494812</v>
      </c>
      <c r="F129" s="61">
        <v>0.9740222692489624</v>
      </c>
      <c r="G129" s="61">
        <v>8.8032325729727745E-3</v>
      </c>
      <c r="H129" s="61">
        <v>358691</v>
      </c>
      <c r="I129" s="61">
        <v>375905</v>
      </c>
      <c r="J129" s="61">
        <v>1554</v>
      </c>
      <c r="K129" s="61">
        <v>184076</v>
      </c>
      <c r="L129" s="61">
        <v>4126</v>
      </c>
      <c r="M129" s="61"/>
      <c r="N129" s="61">
        <v>93381</v>
      </c>
      <c r="O129" s="61">
        <v>7413</v>
      </c>
      <c r="P129" s="61">
        <v>0.88290995359420776</v>
      </c>
      <c r="Q129" s="61">
        <v>0</v>
      </c>
      <c r="R129" s="61">
        <v>375514</v>
      </c>
      <c r="S129" s="61">
        <v>6055</v>
      </c>
      <c r="T129" s="61">
        <v>9124</v>
      </c>
      <c r="U129" s="61">
        <v>94346</v>
      </c>
      <c r="V129" s="61">
        <v>19642</v>
      </c>
    </row>
    <row r="130" spans="1:22">
      <c r="A130" s="61">
        <v>3041</v>
      </c>
      <c r="B130" t="s">
        <v>311</v>
      </c>
      <c r="C130" s="61">
        <v>3.4888260066509247E-2</v>
      </c>
      <c r="D130" s="61">
        <v>0.12799803912639618</v>
      </c>
      <c r="E130" s="61">
        <v>0.21155646443367004</v>
      </c>
      <c r="F130" s="61">
        <v>0.94135022163391113</v>
      </c>
      <c r="G130" s="61">
        <v>1.1712233535945415E-2</v>
      </c>
      <c r="H130" s="61">
        <v>513469</v>
      </c>
      <c r="I130" s="61">
        <v>580145</v>
      </c>
      <c r="J130" s="61">
        <v>3185</v>
      </c>
      <c r="K130" s="61">
        <v>376392</v>
      </c>
      <c r="L130" s="61">
        <v>0</v>
      </c>
      <c r="M130" s="61">
        <v>325866</v>
      </c>
      <c r="N130" s="61">
        <v>143937</v>
      </c>
      <c r="O130" s="61">
        <v>2072</v>
      </c>
      <c r="P130" s="61">
        <v>0.96663802862167358</v>
      </c>
      <c r="Q130" s="61">
        <v>73944</v>
      </c>
      <c r="R130" s="61">
        <v>549128</v>
      </c>
      <c r="S130" s="61">
        <v>7523</v>
      </c>
      <c r="T130" s="61">
        <v>15908</v>
      </c>
      <c r="U130" s="61">
        <v>46311</v>
      </c>
      <c r="V130" s="61">
        <v>27406</v>
      </c>
    </row>
    <row r="131" spans="1:22">
      <c r="A131" s="61">
        <v>3042</v>
      </c>
      <c r="B131" t="s">
        <v>312</v>
      </c>
      <c r="C131" s="61">
        <v>5.0676774233579636E-2</v>
      </c>
      <c r="D131" s="61">
        <v>0.11990801244974136</v>
      </c>
      <c r="E131" s="61">
        <v>0.30671295523643494</v>
      </c>
      <c r="F131" s="61">
        <v>0.9140094518661499</v>
      </c>
      <c r="G131" s="61">
        <v>5.5986024439334869E-2</v>
      </c>
      <c r="H131" s="61">
        <v>200271</v>
      </c>
      <c r="I131" s="61">
        <v>316075</v>
      </c>
      <c r="J131" s="61">
        <v>1769</v>
      </c>
      <c r="K131" s="61">
        <v>203751</v>
      </c>
      <c r="L131" s="61">
        <v>0</v>
      </c>
      <c r="M131" s="61">
        <v>123085</v>
      </c>
      <c r="N131" s="61">
        <v>97800</v>
      </c>
      <c r="O131" s="61">
        <v>3084</v>
      </c>
      <c r="P131" s="61">
        <v>1.2174234390258789</v>
      </c>
      <c r="Q131" s="61">
        <v>73935</v>
      </c>
      <c r="R131" s="61">
        <v>280667</v>
      </c>
      <c r="S131" s="61">
        <v>3221</v>
      </c>
      <c r="T131" s="61">
        <v>9521</v>
      </c>
      <c r="U131" s="61">
        <v>35329</v>
      </c>
      <c r="V131" s="61">
        <v>10243</v>
      </c>
    </row>
    <row r="132" spans="1:22">
      <c r="A132" s="61">
        <v>3043</v>
      </c>
      <c r="B132" t="s">
        <v>313</v>
      </c>
      <c r="C132" s="61">
        <v>4.0664628148078918E-2</v>
      </c>
      <c r="D132" s="61">
        <v>0.15645767748355865</v>
      </c>
      <c r="E132" s="61">
        <v>0.27397122979164124</v>
      </c>
      <c r="F132" s="61">
        <v>0.94109678268432617</v>
      </c>
      <c r="G132" s="61">
        <v>6.4634956419467926E-2</v>
      </c>
      <c r="H132" s="61">
        <v>460639</v>
      </c>
      <c r="I132" s="61">
        <v>641807</v>
      </c>
      <c r="J132" s="61">
        <v>33296</v>
      </c>
      <c r="K132" s="61">
        <v>356347</v>
      </c>
      <c r="L132" s="61">
        <v>0</v>
      </c>
      <c r="M132" s="61">
        <v>273456</v>
      </c>
      <c r="N132" s="61">
        <v>145042</v>
      </c>
      <c r="O132" s="61">
        <v>7828</v>
      </c>
      <c r="P132" s="61">
        <v>0.96030455827713013</v>
      </c>
      <c r="Q132" s="61">
        <v>84270</v>
      </c>
      <c r="R132" s="61">
        <v>648283</v>
      </c>
      <c r="S132" s="61">
        <v>7287</v>
      </c>
      <c r="T132" s="61">
        <v>19738</v>
      </c>
      <c r="U132" s="61">
        <v>41235</v>
      </c>
      <c r="V132" s="61">
        <v>22615</v>
      </c>
    </row>
    <row r="133" spans="1:22">
      <c r="A133" s="61">
        <v>3044</v>
      </c>
      <c r="B133" t="s">
        <v>314</v>
      </c>
      <c r="C133" s="61">
        <v>4.4966395944356918E-2</v>
      </c>
      <c r="D133" s="61">
        <v>0.16970682144165039</v>
      </c>
      <c r="E133" s="61">
        <v>0.29701808094978333</v>
      </c>
      <c r="F133" s="61">
        <v>0.91710799932479858</v>
      </c>
      <c r="G133" s="61">
        <v>2.1073659881949425E-2</v>
      </c>
      <c r="H133" s="61">
        <v>461268</v>
      </c>
      <c r="I133" s="61">
        <v>581203</v>
      </c>
      <c r="J133" s="61">
        <v>12120</v>
      </c>
      <c r="K133" s="61">
        <v>414576</v>
      </c>
      <c r="L133" s="61">
        <v>0</v>
      </c>
      <c r="M133" s="61">
        <v>166136</v>
      </c>
      <c r="N133" s="61">
        <v>170607</v>
      </c>
      <c r="O133" s="61">
        <v>43331</v>
      </c>
      <c r="P133" s="61">
        <v>1.1888306140899658</v>
      </c>
      <c r="Q133" s="61">
        <v>57248</v>
      </c>
      <c r="R133" s="61">
        <v>560930</v>
      </c>
      <c r="S133" s="61">
        <v>7125</v>
      </c>
      <c r="T133" s="61">
        <v>21710</v>
      </c>
      <c r="U133" s="61">
        <v>73696</v>
      </c>
      <c r="V133" s="61">
        <v>32564</v>
      </c>
    </row>
    <row r="134" spans="1:22">
      <c r="A134" s="61">
        <v>3045</v>
      </c>
      <c r="B134" t="s">
        <v>315</v>
      </c>
      <c r="C134" s="61">
        <v>4.424489289522171E-2</v>
      </c>
      <c r="D134" s="61">
        <v>0.1023002490401268</v>
      </c>
      <c r="E134" s="61">
        <v>0.24367979168891907</v>
      </c>
      <c r="F134" s="61">
        <v>0.93578994274139404</v>
      </c>
      <c r="G134" s="61">
        <v>1.8322190269827843E-2</v>
      </c>
      <c r="H134" s="61">
        <v>229994</v>
      </c>
      <c r="I134" s="61">
        <v>349528</v>
      </c>
      <c r="J134" s="61">
        <v>9123</v>
      </c>
      <c r="K134" s="61">
        <v>264945</v>
      </c>
      <c r="L134" s="61">
        <v>0</v>
      </c>
      <c r="M134" s="61">
        <v>89469</v>
      </c>
      <c r="N134" s="61">
        <v>105568</v>
      </c>
      <c r="O134" s="61">
        <v>94</v>
      </c>
      <c r="P134" s="61">
        <v>0.94228518009185791</v>
      </c>
      <c r="Q134" s="61">
        <v>55991</v>
      </c>
      <c r="R134" s="61">
        <v>332395</v>
      </c>
      <c r="S134" s="61">
        <v>4819</v>
      </c>
      <c r="T134" s="61">
        <v>10544</v>
      </c>
      <c r="U134" s="61">
        <v>16009</v>
      </c>
      <c r="V134" s="61">
        <v>3542</v>
      </c>
    </row>
    <row r="135" spans="1:22">
      <c r="A135" s="61">
        <v>3046</v>
      </c>
      <c r="B135" t="s">
        <v>316</v>
      </c>
      <c r="C135" s="61">
        <v>4.3552566319704056E-2</v>
      </c>
      <c r="D135" s="61">
        <v>0.22031797468662262</v>
      </c>
      <c r="E135" s="61">
        <v>0.32559424638748169</v>
      </c>
      <c r="F135" s="61">
        <v>0.87929219007492065</v>
      </c>
      <c r="G135" s="61">
        <v>2.9868535697460175E-2</v>
      </c>
      <c r="H135" s="61">
        <v>334370</v>
      </c>
      <c r="I135" s="61">
        <v>253636</v>
      </c>
      <c r="J135" s="61">
        <v>8131</v>
      </c>
      <c r="K135" s="61">
        <v>266327</v>
      </c>
      <c r="L135" s="61">
        <v>0</v>
      </c>
      <c r="M135" s="61">
        <v>178001</v>
      </c>
      <c r="N135" s="61">
        <v>74912</v>
      </c>
      <c r="O135" s="61">
        <v>262</v>
      </c>
      <c r="P135" s="61">
        <v>1.0480214357376099</v>
      </c>
      <c r="Q135" s="61">
        <v>98215</v>
      </c>
      <c r="R135" s="61">
        <v>225347</v>
      </c>
      <c r="S135" s="61">
        <v>4775</v>
      </c>
      <c r="T135" s="61">
        <v>11595</v>
      </c>
      <c r="U135" s="61">
        <v>142367</v>
      </c>
      <c r="V135" s="61">
        <v>60411</v>
      </c>
    </row>
    <row r="136" spans="1:22">
      <c r="A136" s="61">
        <v>3047</v>
      </c>
      <c r="B136" t="s">
        <v>317</v>
      </c>
      <c r="C136" s="61">
        <v>4.7164987772703171E-2</v>
      </c>
      <c r="D136" s="61">
        <v>0.13334196805953979</v>
      </c>
      <c r="E136" s="61">
        <v>0.28578591346740723</v>
      </c>
      <c r="F136" s="61">
        <v>0.92517530918121338</v>
      </c>
      <c r="G136" s="61">
        <v>4.7317333519458771E-2</v>
      </c>
      <c r="H136" s="61">
        <v>999114</v>
      </c>
      <c r="I136" s="61">
        <v>1124065</v>
      </c>
      <c r="J136" s="61">
        <v>36329</v>
      </c>
      <c r="K136" s="61">
        <v>704610</v>
      </c>
      <c r="L136" s="61">
        <v>0</v>
      </c>
      <c r="M136" s="61">
        <v>329653</v>
      </c>
      <c r="N136" s="61">
        <v>350170</v>
      </c>
      <c r="O136" s="61">
        <v>17181</v>
      </c>
      <c r="P136" s="61">
        <v>0.76771843433380127</v>
      </c>
      <c r="Q136" s="61">
        <v>73774</v>
      </c>
      <c r="R136" s="61">
        <v>1081562</v>
      </c>
      <c r="S136" s="61">
        <v>19435</v>
      </c>
      <c r="T136" s="61">
        <v>41777</v>
      </c>
      <c r="U136" s="61">
        <v>235169</v>
      </c>
      <c r="V136" s="61">
        <v>48981</v>
      </c>
    </row>
    <row r="137" spans="1:22">
      <c r="A137" s="61">
        <v>3048</v>
      </c>
      <c r="B137" t="s">
        <v>318</v>
      </c>
      <c r="C137" s="61">
        <v>5.2786223590373993E-2</v>
      </c>
      <c r="D137" s="61">
        <v>0.1320018470287323</v>
      </c>
      <c r="E137" s="61">
        <v>0.31819307804107666</v>
      </c>
      <c r="F137" s="61">
        <v>0.92794263362884521</v>
      </c>
      <c r="G137" s="61">
        <v>4.7862440347671509E-2</v>
      </c>
      <c r="H137" s="61">
        <v>1358738</v>
      </c>
      <c r="I137" s="61">
        <v>1510820</v>
      </c>
      <c r="J137" s="61">
        <v>31382</v>
      </c>
      <c r="K137" s="61">
        <v>191627</v>
      </c>
      <c r="L137" s="61">
        <v>0</v>
      </c>
      <c r="M137" s="61">
        <v>672762</v>
      </c>
      <c r="N137" s="61">
        <v>573812</v>
      </c>
      <c r="O137" s="61">
        <v>0</v>
      </c>
      <c r="P137" s="61">
        <v>0.91423368453979492</v>
      </c>
      <c r="Q137" s="61">
        <v>79396</v>
      </c>
      <c r="R137" s="61">
        <v>1451761</v>
      </c>
      <c r="S137" s="61">
        <v>29117</v>
      </c>
      <c r="T137" s="61">
        <v>68501</v>
      </c>
      <c r="U137" s="61">
        <v>194647</v>
      </c>
      <c r="V137" s="61">
        <v>108787</v>
      </c>
    </row>
    <row r="138" spans="1:22">
      <c r="A138" s="61">
        <v>3049</v>
      </c>
      <c r="B138" t="s">
        <v>319</v>
      </c>
      <c r="C138" s="61">
        <v>3.1122729182243347E-2</v>
      </c>
      <c r="D138" s="61">
        <v>0.17541162669658661</v>
      </c>
      <c r="E138" s="61">
        <v>0.28310808539390564</v>
      </c>
      <c r="F138" s="61">
        <v>0.90825521945953369</v>
      </c>
      <c r="G138" s="61">
        <v>3.4818977117538452E-2</v>
      </c>
      <c r="H138" s="61">
        <v>2604049</v>
      </c>
      <c r="I138" s="61">
        <v>2003871</v>
      </c>
      <c r="J138" s="61">
        <v>74632</v>
      </c>
      <c r="K138" s="61">
        <v>1122576</v>
      </c>
      <c r="L138" s="61">
        <v>0</v>
      </c>
      <c r="M138" s="61">
        <v>1543796</v>
      </c>
      <c r="N138" s="61">
        <v>941550</v>
      </c>
      <c r="O138" s="61">
        <v>0</v>
      </c>
      <c r="P138" s="61">
        <v>1.0867615938186646</v>
      </c>
      <c r="Q138" s="61">
        <v>245790</v>
      </c>
      <c r="R138" s="61">
        <v>1862059</v>
      </c>
      <c r="S138" s="61">
        <v>52857</v>
      </c>
      <c r="T138" s="61">
        <v>77550</v>
      </c>
      <c r="U138" s="61">
        <v>573080</v>
      </c>
      <c r="V138" s="61">
        <v>338149</v>
      </c>
    </row>
    <row r="139" spans="1:22">
      <c r="A139" s="61">
        <v>3050</v>
      </c>
      <c r="B139" t="s">
        <v>320</v>
      </c>
      <c r="C139" s="61">
        <v>2.1641328930854797E-2</v>
      </c>
      <c r="D139" s="61">
        <v>0.17502117156982422</v>
      </c>
      <c r="E139" s="61">
        <v>0.29269680380821228</v>
      </c>
      <c r="F139" s="61">
        <v>0.9502713680267334</v>
      </c>
      <c r="G139" s="61">
        <v>1.0734723880887032E-2</v>
      </c>
      <c r="H139" s="61">
        <v>423412</v>
      </c>
      <c r="I139" s="61">
        <v>285767</v>
      </c>
      <c r="J139" s="61">
        <v>1439</v>
      </c>
      <c r="K139" s="61">
        <v>113186</v>
      </c>
      <c r="L139" s="61">
        <v>692</v>
      </c>
      <c r="M139" s="61">
        <v>295078</v>
      </c>
      <c r="N139" s="61">
        <v>81823</v>
      </c>
      <c r="O139" s="61">
        <v>1889</v>
      </c>
      <c r="P139" s="61">
        <v>0.94199812412261963</v>
      </c>
      <c r="Q139" s="61">
        <v>0</v>
      </c>
      <c r="R139" s="61">
        <v>279318</v>
      </c>
      <c r="S139" s="61">
        <v>8107</v>
      </c>
      <c r="T139" s="61">
        <v>9183</v>
      </c>
      <c r="U139" s="61">
        <v>43697</v>
      </c>
      <c r="V139" s="61">
        <v>22513</v>
      </c>
    </row>
    <row r="140" spans="1:22">
      <c r="A140" s="61">
        <v>3051</v>
      </c>
      <c r="B140" t="s">
        <v>321</v>
      </c>
      <c r="C140" s="61">
        <v>4.9047484993934631E-2</v>
      </c>
      <c r="D140" s="61">
        <v>9.2928566038608551E-2</v>
      </c>
      <c r="E140" s="61">
        <v>0.22245326638221741</v>
      </c>
      <c r="F140" s="61">
        <v>0.94072878360748291</v>
      </c>
      <c r="G140" s="61">
        <v>1.2188869528472424E-2</v>
      </c>
      <c r="H140" s="61">
        <v>119719</v>
      </c>
      <c r="I140" s="61">
        <v>207077</v>
      </c>
      <c r="J140" s="61">
        <v>939</v>
      </c>
      <c r="K140" s="61">
        <v>90165</v>
      </c>
      <c r="L140" s="61">
        <v>0</v>
      </c>
      <c r="M140" s="61">
        <v>70354</v>
      </c>
      <c r="N140" s="61">
        <v>35816</v>
      </c>
      <c r="O140" s="61">
        <v>3632</v>
      </c>
      <c r="P140" s="61">
        <v>0.79738157987594604</v>
      </c>
      <c r="Q140" s="61">
        <v>22757</v>
      </c>
      <c r="R140" s="61">
        <v>189504</v>
      </c>
      <c r="S140" s="61">
        <v>1751</v>
      </c>
      <c r="T140" s="61">
        <v>5175</v>
      </c>
      <c r="U140" s="61">
        <v>26633</v>
      </c>
      <c r="V140" s="61">
        <v>1026</v>
      </c>
    </row>
    <row r="141" spans="1:22">
      <c r="A141" s="61">
        <v>3052</v>
      </c>
      <c r="B141" t="s">
        <v>322</v>
      </c>
      <c r="C141" s="61">
        <v>5.6014101952314377E-2</v>
      </c>
      <c r="D141" s="61">
        <v>0.13477271795272827</v>
      </c>
      <c r="E141" s="61">
        <v>0.33717209100723267</v>
      </c>
      <c r="F141" s="61">
        <v>0.94365870952606201</v>
      </c>
      <c r="G141" s="61">
        <v>1.2495390139520168E-2</v>
      </c>
      <c r="H141" s="61">
        <v>216968</v>
      </c>
      <c r="I141" s="61">
        <v>375612</v>
      </c>
      <c r="J141" s="61">
        <v>3740</v>
      </c>
      <c r="K141" s="61">
        <v>285044</v>
      </c>
      <c r="L141" s="61">
        <v>0</v>
      </c>
      <c r="M141" s="61">
        <v>31681</v>
      </c>
      <c r="N141" s="61">
        <v>65707</v>
      </c>
      <c r="O141" s="61">
        <v>37558</v>
      </c>
      <c r="P141" s="61">
        <v>0.83368837833404541</v>
      </c>
      <c r="Q141" s="61">
        <v>19522</v>
      </c>
      <c r="R141" s="61">
        <v>358662</v>
      </c>
      <c r="S141" s="61">
        <v>3752</v>
      </c>
      <c r="T141" s="61">
        <v>12297</v>
      </c>
      <c r="U141" s="61">
        <v>136487</v>
      </c>
      <c r="V141" s="61">
        <v>81622</v>
      </c>
    </row>
    <row r="142" spans="1:22">
      <c r="A142" s="61">
        <v>3053</v>
      </c>
      <c r="B142" t="s">
        <v>323</v>
      </c>
      <c r="C142" s="61">
        <v>4.6402674168348312E-2</v>
      </c>
      <c r="D142" s="61">
        <v>0.12269025295972824</v>
      </c>
      <c r="E142" s="61">
        <v>0.24108658730983734</v>
      </c>
      <c r="F142" s="61">
        <v>0.92652064561843872</v>
      </c>
      <c r="G142" s="61">
        <v>1.7290890216827393E-2</v>
      </c>
      <c r="H142" s="61">
        <v>520690</v>
      </c>
      <c r="I142" s="61">
        <v>546407</v>
      </c>
      <c r="J142" s="61">
        <v>2497</v>
      </c>
      <c r="K142" s="61">
        <v>186190</v>
      </c>
      <c r="L142" s="61">
        <v>0</v>
      </c>
      <c r="M142" s="61">
        <v>329620</v>
      </c>
      <c r="N142" s="61">
        <v>178039</v>
      </c>
      <c r="O142" s="61">
        <v>514</v>
      </c>
      <c r="P142" s="61">
        <v>0.80408453941345215</v>
      </c>
      <c r="Q142" s="61">
        <v>51989</v>
      </c>
      <c r="R142" s="61">
        <v>500784</v>
      </c>
      <c r="S142" s="61">
        <v>8716</v>
      </c>
      <c r="T142" s="61">
        <v>23434</v>
      </c>
      <c r="U142" s="61">
        <v>59497</v>
      </c>
      <c r="V142" s="61">
        <v>7930</v>
      </c>
    </row>
    <row r="143" spans="1:22">
      <c r="A143" s="61">
        <v>3054</v>
      </c>
      <c r="B143" t="s">
        <v>324</v>
      </c>
      <c r="C143" s="61">
        <v>3.4412145614624023E-2</v>
      </c>
      <c r="D143" s="61">
        <v>0.18832024931907654</v>
      </c>
      <c r="E143" s="61">
        <v>0.30799931287765503</v>
      </c>
      <c r="F143" s="61">
        <v>0.93134397268295288</v>
      </c>
      <c r="G143" s="61">
        <v>1.5526337549090385E-2</v>
      </c>
      <c r="H143" s="61">
        <v>1050176</v>
      </c>
      <c r="I143" s="61">
        <v>744699</v>
      </c>
      <c r="J143" s="61">
        <v>3768</v>
      </c>
      <c r="K143" s="61">
        <v>467300</v>
      </c>
      <c r="L143" s="61">
        <v>0</v>
      </c>
      <c r="M143" s="61">
        <v>675072</v>
      </c>
      <c r="N143" s="61">
        <v>244616</v>
      </c>
      <c r="O143" s="61">
        <v>0</v>
      </c>
      <c r="P143" s="61">
        <v>0.8366352915763855</v>
      </c>
      <c r="Q143" s="61">
        <v>31431</v>
      </c>
      <c r="R143" s="61">
        <v>673523</v>
      </c>
      <c r="S143" s="61">
        <v>21046</v>
      </c>
      <c r="T143" s="61">
        <v>33576</v>
      </c>
      <c r="U143" s="61">
        <v>147629</v>
      </c>
      <c r="V143" s="61">
        <v>66703</v>
      </c>
    </row>
    <row r="144" spans="1:22">
      <c r="A144" s="61">
        <v>3401</v>
      </c>
      <c r="B144" t="s">
        <v>325</v>
      </c>
      <c r="C144" s="61">
        <v>3.0679246410727501E-2</v>
      </c>
      <c r="D144" s="61">
        <v>0.11640540510416031</v>
      </c>
      <c r="E144" s="61">
        <v>0.21971340477466583</v>
      </c>
      <c r="F144" s="61">
        <v>0.92916905879974365</v>
      </c>
      <c r="G144" s="61">
        <v>1.2328166514635086E-2</v>
      </c>
      <c r="H144" s="61">
        <v>1674881</v>
      </c>
      <c r="I144" s="61">
        <v>1505423</v>
      </c>
      <c r="J144" s="61">
        <v>10135</v>
      </c>
      <c r="K144" s="61">
        <v>955968</v>
      </c>
      <c r="L144" s="61">
        <v>0</v>
      </c>
      <c r="M144" s="61">
        <v>1199434</v>
      </c>
      <c r="N144" s="61">
        <v>488404</v>
      </c>
      <c r="O144" s="61">
        <v>245</v>
      </c>
      <c r="P144" s="61">
        <v>0.84772723913192749</v>
      </c>
      <c r="Q144" s="61">
        <v>295408</v>
      </c>
      <c r="R144" s="61">
        <v>1386357</v>
      </c>
      <c r="S144" s="61">
        <v>26200</v>
      </c>
      <c r="T144" s="61">
        <v>49746</v>
      </c>
      <c r="U144" s="61">
        <v>81345</v>
      </c>
      <c r="V144" s="61">
        <v>17606</v>
      </c>
    </row>
    <row r="145" spans="1:22">
      <c r="A145" s="61">
        <v>3403</v>
      </c>
      <c r="B145" t="s">
        <v>326</v>
      </c>
      <c r="C145" s="61">
        <v>3.139219805598259E-2</v>
      </c>
      <c r="D145" s="61">
        <v>0.27652320265769958</v>
      </c>
      <c r="E145" s="61">
        <v>0.66952800750732422</v>
      </c>
      <c r="F145" s="61">
        <v>0.91591846942901611</v>
      </c>
      <c r="G145" s="61">
        <v>3.1428296118974686E-2</v>
      </c>
      <c r="H145" s="61">
        <v>3327048</v>
      </c>
      <c r="I145" s="61">
        <v>3085043</v>
      </c>
      <c r="J145" s="61">
        <v>136524</v>
      </c>
      <c r="K145" s="61">
        <v>6610036</v>
      </c>
      <c r="L145" s="61">
        <v>0</v>
      </c>
      <c r="M145" s="61">
        <v>2559662</v>
      </c>
      <c r="N145" s="61">
        <v>922933</v>
      </c>
      <c r="O145" s="61">
        <v>240</v>
      </c>
      <c r="P145" s="61">
        <v>0.91048628091812134</v>
      </c>
      <c r="Q145" s="61">
        <v>462604</v>
      </c>
      <c r="R145" s="61">
        <v>2968211</v>
      </c>
      <c r="S145" s="61">
        <v>67884</v>
      </c>
      <c r="T145" s="61">
        <v>97542</v>
      </c>
      <c r="U145" s="61">
        <v>4816397</v>
      </c>
      <c r="V145" s="61">
        <v>4745655</v>
      </c>
    </row>
    <row r="146" spans="1:22">
      <c r="A146" s="61">
        <v>3405</v>
      </c>
      <c r="B146" t="s">
        <v>327</v>
      </c>
      <c r="C146" s="61">
        <v>3.3035289496183395E-2</v>
      </c>
      <c r="D146" s="61">
        <v>0.14674770832061768</v>
      </c>
      <c r="E146" s="61">
        <v>0.23729051649570465</v>
      </c>
      <c r="F146" s="61">
        <v>0.93325060606002808</v>
      </c>
      <c r="G146" s="61">
        <v>3.302895650267601E-2</v>
      </c>
      <c r="H146" s="61">
        <v>4080371</v>
      </c>
      <c r="I146" s="61">
        <v>2732986</v>
      </c>
      <c r="J146" s="61">
        <v>67477</v>
      </c>
      <c r="K146" s="61">
        <v>2218464</v>
      </c>
      <c r="L146" s="61">
        <v>0</v>
      </c>
      <c r="M146" s="61">
        <v>2130040</v>
      </c>
      <c r="N146" s="61">
        <v>825131</v>
      </c>
      <c r="O146" s="61">
        <v>246</v>
      </c>
      <c r="P146" s="61">
        <v>0.90084558725357056</v>
      </c>
      <c r="Q146" s="61">
        <v>85301</v>
      </c>
      <c r="R146" s="61">
        <v>2646919</v>
      </c>
      <c r="S146" s="61">
        <v>85660</v>
      </c>
      <c r="T146" s="61">
        <v>113338</v>
      </c>
      <c r="U146" s="61">
        <v>521964</v>
      </c>
      <c r="V146" s="61">
        <v>124466</v>
      </c>
    </row>
    <row r="147" spans="1:22">
      <c r="A147" s="61">
        <v>3407</v>
      </c>
      <c r="B147" t="s">
        <v>328</v>
      </c>
      <c r="C147" s="61">
        <v>4.155832901597023E-2</v>
      </c>
      <c r="D147" s="61">
        <v>0.10339577496051788</v>
      </c>
      <c r="E147" s="61">
        <v>0.27147889137268066</v>
      </c>
      <c r="F147" s="61">
        <v>0.94676440954208374</v>
      </c>
      <c r="G147" s="61">
        <v>1.6560697928071022E-2</v>
      </c>
      <c r="H147" s="61">
        <v>2995935</v>
      </c>
      <c r="I147" s="61">
        <v>2674494</v>
      </c>
      <c r="J147" s="61">
        <v>62472</v>
      </c>
      <c r="K147" s="61">
        <v>2925411</v>
      </c>
      <c r="L147" s="61">
        <v>0</v>
      </c>
      <c r="M147" s="61"/>
      <c r="N147" s="61">
        <v>811206</v>
      </c>
      <c r="O147" s="61">
        <v>333</v>
      </c>
      <c r="P147" s="61">
        <v>0.82145106792449951</v>
      </c>
      <c r="Q147" s="61">
        <v>411791</v>
      </c>
      <c r="R147" s="61">
        <v>2646205</v>
      </c>
      <c r="S147" s="61">
        <v>73854</v>
      </c>
      <c r="T147" s="61">
        <v>108637</v>
      </c>
      <c r="U147" s="61">
        <v>514225</v>
      </c>
      <c r="V147" s="61">
        <v>84596</v>
      </c>
    </row>
    <row r="148" spans="1:22">
      <c r="A148" s="61">
        <v>3411</v>
      </c>
      <c r="B148" t="s">
        <v>329</v>
      </c>
      <c r="C148" s="61">
        <v>2.7807475998997688E-2</v>
      </c>
      <c r="D148" s="61">
        <v>0.15486827492713928</v>
      </c>
      <c r="E148" s="61">
        <v>0.25682264566421509</v>
      </c>
      <c r="F148" s="61">
        <v>0.926047682762146</v>
      </c>
      <c r="G148" s="61">
        <v>2.6096317917108536E-2</v>
      </c>
      <c r="H148" s="61">
        <v>3172221</v>
      </c>
      <c r="I148" s="61">
        <v>3021195</v>
      </c>
      <c r="J148" s="61">
        <v>111432</v>
      </c>
      <c r="K148" s="61">
        <v>4743537</v>
      </c>
      <c r="L148" s="61">
        <v>0</v>
      </c>
      <c r="M148" s="61">
        <v>1958894</v>
      </c>
      <c r="N148" s="61">
        <v>885530</v>
      </c>
      <c r="O148" s="61">
        <v>1100</v>
      </c>
      <c r="P148" s="61">
        <v>0.78818374872207642</v>
      </c>
      <c r="Q148" s="61">
        <v>506806</v>
      </c>
      <c r="R148" s="61">
        <v>2931744</v>
      </c>
      <c r="S148" s="61">
        <v>71673</v>
      </c>
      <c r="T148" s="61">
        <v>86275</v>
      </c>
      <c r="U148" s="61">
        <v>407884</v>
      </c>
      <c r="V148" s="61">
        <v>37387</v>
      </c>
    </row>
    <row r="149" spans="1:22">
      <c r="A149" s="61">
        <v>3412</v>
      </c>
      <c r="B149" t="s">
        <v>330</v>
      </c>
      <c r="C149" s="61">
        <v>3.6025829613208771E-2</v>
      </c>
      <c r="D149" s="61">
        <v>9.4833776354789734E-2</v>
      </c>
      <c r="E149" s="61">
        <v>0.26456668972969055</v>
      </c>
      <c r="F149" s="61">
        <v>0.926125168800354</v>
      </c>
      <c r="G149" s="61">
        <v>2.2166352719068527E-2</v>
      </c>
      <c r="H149" s="61">
        <v>484079</v>
      </c>
      <c r="I149" s="61">
        <v>611133</v>
      </c>
      <c r="J149" s="61">
        <v>16769</v>
      </c>
      <c r="K149" s="61">
        <v>766086</v>
      </c>
      <c r="L149" s="61">
        <v>0</v>
      </c>
      <c r="M149" s="61">
        <v>351355</v>
      </c>
      <c r="N149" s="61">
        <v>173016</v>
      </c>
      <c r="O149" s="61">
        <v>0</v>
      </c>
      <c r="P149" s="61">
        <v>0.69769942760467529</v>
      </c>
      <c r="Q149" s="61">
        <v>148367</v>
      </c>
      <c r="R149" s="61">
        <v>593690</v>
      </c>
      <c r="S149" s="61">
        <v>6678</v>
      </c>
      <c r="T149" s="61">
        <v>16185</v>
      </c>
      <c r="U149" s="61">
        <v>111315</v>
      </c>
      <c r="V149" s="61">
        <v>25118</v>
      </c>
    </row>
    <row r="150" spans="1:22">
      <c r="A150" s="61">
        <v>3413</v>
      </c>
      <c r="B150" t="s">
        <v>331</v>
      </c>
      <c r="C150" s="61">
        <v>3.6439061164855957E-2</v>
      </c>
      <c r="D150" s="61">
        <v>9.506487101316452E-2</v>
      </c>
      <c r="E150" s="61">
        <v>0.29310783743858337</v>
      </c>
      <c r="F150" s="61">
        <v>0.93581944704055786</v>
      </c>
      <c r="G150" s="61">
        <v>2.6478206738829613E-2</v>
      </c>
      <c r="H150" s="61">
        <v>1577195</v>
      </c>
      <c r="I150" s="61">
        <v>1744742</v>
      </c>
      <c r="J150" s="61">
        <v>30966</v>
      </c>
      <c r="K150" s="61">
        <v>1117706</v>
      </c>
      <c r="L150" s="61">
        <v>0</v>
      </c>
      <c r="M150" s="61">
        <v>1176824</v>
      </c>
      <c r="N150" s="61">
        <v>521960</v>
      </c>
      <c r="O150" s="61">
        <v>476</v>
      </c>
      <c r="P150" s="61">
        <v>0.76683211326599121</v>
      </c>
      <c r="Q150" s="61">
        <v>318333</v>
      </c>
      <c r="R150" s="61">
        <v>1697299</v>
      </c>
      <c r="S150" s="61">
        <v>30016</v>
      </c>
      <c r="T150" s="61">
        <v>50244</v>
      </c>
      <c r="U150" s="61">
        <v>234600</v>
      </c>
      <c r="V150" s="61">
        <v>69097</v>
      </c>
    </row>
    <row r="151" spans="1:22">
      <c r="A151" s="61">
        <v>3414</v>
      </c>
      <c r="B151" t="s">
        <v>332</v>
      </c>
      <c r="C151" s="61">
        <v>3.2190226018428802E-2</v>
      </c>
      <c r="D151" s="61">
        <v>0.12089806795120239</v>
      </c>
      <c r="E151" s="61">
        <v>0.22651675343513489</v>
      </c>
      <c r="F151" s="61">
        <v>0.95856344699859619</v>
      </c>
      <c r="G151" s="61">
        <v>1.9994758069515228E-2</v>
      </c>
      <c r="H151" s="61">
        <v>707841</v>
      </c>
      <c r="I151" s="61">
        <v>452052</v>
      </c>
      <c r="J151" s="61">
        <v>5105</v>
      </c>
      <c r="K151" s="61">
        <v>343418</v>
      </c>
      <c r="L151" s="61">
        <v>4058</v>
      </c>
      <c r="M151" s="61">
        <v>481732</v>
      </c>
      <c r="N151" s="61">
        <v>111733</v>
      </c>
      <c r="O151" s="61">
        <v>0</v>
      </c>
      <c r="P151" s="61">
        <v>0.6893310546875</v>
      </c>
      <c r="Q151" s="61">
        <v>13</v>
      </c>
      <c r="R151" s="61">
        <v>431724</v>
      </c>
      <c r="S151" s="61">
        <v>12731</v>
      </c>
      <c r="T151" s="61">
        <v>18751</v>
      </c>
      <c r="U151" s="61">
        <v>103951</v>
      </c>
      <c r="V151" s="61">
        <v>18489</v>
      </c>
    </row>
    <row r="152" spans="1:22">
      <c r="A152" s="61">
        <v>3415</v>
      </c>
      <c r="B152" t="s">
        <v>333</v>
      </c>
      <c r="C152" s="61">
        <v>4.3018937110900879E-2</v>
      </c>
      <c r="D152" s="61">
        <v>0.15596146881580353</v>
      </c>
      <c r="E152" s="61">
        <v>0.22680267691612244</v>
      </c>
      <c r="F152" s="61">
        <v>0.91784918308258057</v>
      </c>
      <c r="G152" s="61">
        <v>1.8454229459166527E-2</v>
      </c>
      <c r="H152" s="61">
        <v>855645</v>
      </c>
      <c r="I152" s="61">
        <v>698312</v>
      </c>
      <c r="J152" s="61">
        <v>4341</v>
      </c>
      <c r="K152" s="61">
        <v>320882</v>
      </c>
      <c r="L152" s="61">
        <v>0</v>
      </c>
      <c r="M152" s="61">
        <v>553080</v>
      </c>
      <c r="N152" s="61">
        <v>194910</v>
      </c>
      <c r="O152" s="61">
        <v>29</v>
      </c>
      <c r="P152" s="61">
        <v>0.76302039623260498</v>
      </c>
      <c r="Q152" s="61">
        <v>73712</v>
      </c>
      <c r="R152" s="61">
        <v>642141</v>
      </c>
      <c r="S152" s="61">
        <v>18581</v>
      </c>
      <c r="T152" s="61">
        <v>35260</v>
      </c>
      <c r="U152" s="61">
        <v>54854</v>
      </c>
      <c r="V152" s="61">
        <v>8014</v>
      </c>
    </row>
    <row r="153" spans="1:22">
      <c r="A153" s="61">
        <v>3416</v>
      </c>
      <c r="B153" t="s">
        <v>334</v>
      </c>
      <c r="C153" s="61">
        <v>3.978198766708374E-2</v>
      </c>
      <c r="D153" s="61">
        <v>0.12276246398687363</v>
      </c>
      <c r="E153" s="61">
        <v>0.16188937425613403</v>
      </c>
      <c r="F153" s="61">
        <v>0.94127678871154785</v>
      </c>
      <c r="G153" s="61">
        <v>1.369935180991888E-2</v>
      </c>
      <c r="H153" s="61">
        <v>535258</v>
      </c>
      <c r="I153" s="61">
        <v>617749</v>
      </c>
      <c r="J153" s="61">
        <v>3224</v>
      </c>
      <c r="K153" s="61">
        <v>272417</v>
      </c>
      <c r="L153" s="61">
        <v>0</v>
      </c>
      <c r="M153" s="61">
        <v>437015</v>
      </c>
      <c r="N153" s="61">
        <v>135252</v>
      </c>
      <c r="O153" s="61">
        <v>0</v>
      </c>
      <c r="P153" s="61">
        <v>0.68547368049621582</v>
      </c>
      <c r="Q153" s="61">
        <v>45234</v>
      </c>
      <c r="R153" s="61">
        <v>595819</v>
      </c>
      <c r="S153" s="61">
        <v>8156</v>
      </c>
      <c r="T153" s="61">
        <v>19649</v>
      </c>
      <c r="U153" s="61">
        <v>50440</v>
      </c>
      <c r="V153" s="61">
        <v>12524</v>
      </c>
    </row>
    <row r="154" spans="1:22">
      <c r="A154" s="61">
        <v>3417</v>
      </c>
      <c r="B154" t="s">
        <v>335</v>
      </c>
      <c r="C154" s="61">
        <v>4.1648030281066895E-2</v>
      </c>
      <c r="D154" s="61">
        <v>7.43604376912117E-2</v>
      </c>
      <c r="E154" s="61">
        <v>0.244028240442276</v>
      </c>
      <c r="F154" s="61">
        <v>0.93813419342041016</v>
      </c>
      <c r="G154" s="61">
        <v>1.2923688627779484E-2</v>
      </c>
      <c r="H154" s="61">
        <v>316634</v>
      </c>
      <c r="I154" s="61">
        <v>431721</v>
      </c>
      <c r="J154" s="61">
        <v>1198</v>
      </c>
      <c r="K154" s="61">
        <v>105576</v>
      </c>
      <c r="L154" s="61">
        <v>0</v>
      </c>
      <c r="M154" s="61">
        <v>272589</v>
      </c>
      <c r="N154" s="61">
        <v>113051</v>
      </c>
      <c r="O154" s="61">
        <v>0</v>
      </c>
      <c r="P154" s="61">
        <v>0.75855839252471924</v>
      </c>
      <c r="Q154" s="61">
        <v>9750</v>
      </c>
      <c r="R154" s="61">
        <v>412409</v>
      </c>
      <c r="S154" s="61">
        <v>6581</v>
      </c>
      <c r="T154" s="61">
        <v>13223</v>
      </c>
      <c r="U154" s="61">
        <v>5298</v>
      </c>
      <c r="V154" s="61">
        <v>1969</v>
      </c>
    </row>
    <row r="155" spans="1:22">
      <c r="A155" s="61">
        <v>3418</v>
      </c>
      <c r="B155" t="s">
        <v>336</v>
      </c>
      <c r="C155" s="61">
        <v>3.8421511650085449E-2</v>
      </c>
      <c r="D155" s="61">
        <v>0.10119650512933731</v>
      </c>
      <c r="E155" s="61">
        <v>0.30155870318412781</v>
      </c>
      <c r="F155" s="61">
        <v>0.95251357555389404</v>
      </c>
      <c r="G155" s="61">
        <v>1.1715251952409744E-2</v>
      </c>
      <c r="H155" s="61">
        <v>671043</v>
      </c>
      <c r="I155" s="61">
        <v>690509</v>
      </c>
      <c r="J155" s="61">
        <v>1878</v>
      </c>
      <c r="K155" s="61">
        <v>158257</v>
      </c>
      <c r="L155" s="61">
        <v>22740</v>
      </c>
      <c r="M155" s="61">
        <v>557680</v>
      </c>
      <c r="N155" s="61">
        <v>162820</v>
      </c>
      <c r="O155" s="61">
        <v>51</v>
      </c>
      <c r="P155" s="61">
        <v>0.69951695203781128</v>
      </c>
      <c r="Q155" s="61">
        <v>0</v>
      </c>
      <c r="R155" s="61">
        <v>685187</v>
      </c>
      <c r="S155" s="61">
        <v>13145</v>
      </c>
      <c r="T155" s="61">
        <v>23332</v>
      </c>
      <c r="U155" s="61">
        <v>116686</v>
      </c>
      <c r="V155" s="61">
        <v>44392</v>
      </c>
    </row>
    <row r="156" spans="1:22">
      <c r="A156" s="61">
        <v>3419</v>
      </c>
      <c r="B156" t="s">
        <v>533</v>
      </c>
      <c r="C156" s="61">
        <v>3.5487689077854156E-2</v>
      </c>
      <c r="D156" s="61">
        <v>0.11326532065868378</v>
      </c>
      <c r="E156" s="61">
        <v>0.19720567762851715</v>
      </c>
      <c r="F156" s="61">
        <v>0.95256954431533813</v>
      </c>
      <c r="G156" s="61">
        <v>1.2100487947463989E-2</v>
      </c>
      <c r="H156" s="61">
        <v>426777</v>
      </c>
      <c r="I156" s="61">
        <v>382937</v>
      </c>
      <c r="J156" s="61">
        <v>1540</v>
      </c>
      <c r="K156" s="61">
        <v>150188</v>
      </c>
      <c r="L156" s="61">
        <v>0</v>
      </c>
      <c r="M156" s="61">
        <v>320752</v>
      </c>
      <c r="N156" s="61">
        <v>83140</v>
      </c>
      <c r="O156" s="61">
        <v>288</v>
      </c>
      <c r="P156" s="61">
        <v>0.70257967710494995</v>
      </c>
      <c r="Q156" s="61">
        <v>27747</v>
      </c>
      <c r="R156" s="61">
        <v>362990</v>
      </c>
      <c r="S156" s="61">
        <v>5827</v>
      </c>
      <c r="T156" s="61">
        <v>10370</v>
      </c>
      <c r="U156" s="61">
        <v>180395</v>
      </c>
      <c r="V156" s="61">
        <v>34005</v>
      </c>
    </row>
    <row r="157" spans="1:22">
      <c r="A157" s="61">
        <v>3420</v>
      </c>
      <c r="B157" t="s">
        <v>337</v>
      </c>
      <c r="C157" s="61">
        <v>2.9704039916396141E-2</v>
      </c>
      <c r="D157" s="61">
        <v>0.18031230568885803</v>
      </c>
      <c r="E157" s="61">
        <v>0.2728922963142395</v>
      </c>
      <c r="F157" s="61">
        <v>0.91963005065917969</v>
      </c>
      <c r="G157" s="61">
        <v>2.129889652132988E-2</v>
      </c>
      <c r="H157" s="61">
        <v>2846525</v>
      </c>
      <c r="I157" s="61">
        <v>1812547</v>
      </c>
      <c r="J157" s="61">
        <v>26434</v>
      </c>
      <c r="K157" s="61">
        <v>1229656</v>
      </c>
      <c r="L157" s="61">
        <v>0</v>
      </c>
      <c r="M157" s="61">
        <v>1683898</v>
      </c>
      <c r="N157" s="61">
        <v>533066</v>
      </c>
      <c r="O157" s="61">
        <v>391</v>
      </c>
      <c r="P157" s="61">
        <v>0.77614742517471313</v>
      </c>
      <c r="Q157" s="61">
        <v>33420</v>
      </c>
      <c r="R157" s="61">
        <v>1679046</v>
      </c>
      <c r="S157" s="61">
        <v>62877</v>
      </c>
      <c r="T157" s="61">
        <v>83624</v>
      </c>
      <c r="U157" s="61">
        <v>192180</v>
      </c>
      <c r="V157" s="61">
        <v>39636</v>
      </c>
    </row>
    <row r="158" spans="1:22">
      <c r="A158" s="61">
        <v>3421</v>
      </c>
      <c r="B158" t="s">
        <v>338</v>
      </c>
      <c r="C158" s="61">
        <v>3.7730380892753601E-2</v>
      </c>
      <c r="D158" s="61">
        <v>0.12818017601966858</v>
      </c>
      <c r="E158" s="61">
        <v>0.2852337658405304</v>
      </c>
      <c r="F158" s="61">
        <v>0.95709133148193359</v>
      </c>
      <c r="G158" s="61">
        <v>2.3615216836333275E-2</v>
      </c>
      <c r="H158" s="61">
        <v>724080</v>
      </c>
      <c r="I158" s="61">
        <v>739543</v>
      </c>
      <c r="J158" s="61">
        <v>10268</v>
      </c>
      <c r="K158" s="61">
        <v>503995</v>
      </c>
      <c r="L158" s="61">
        <v>0</v>
      </c>
      <c r="M158" s="61">
        <v>295928</v>
      </c>
      <c r="N158" s="61">
        <v>172622</v>
      </c>
      <c r="O158" s="61">
        <v>1932</v>
      </c>
      <c r="P158" s="61">
        <v>0.80608916282653809</v>
      </c>
      <c r="Q158" s="61">
        <v>15298</v>
      </c>
      <c r="R158" s="61">
        <v>704793</v>
      </c>
      <c r="S158" s="61">
        <v>12723</v>
      </c>
      <c r="T158" s="61">
        <v>27336</v>
      </c>
      <c r="U158" s="61">
        <v>76074</v>
      </c>
      <c r="V158" s="61">
        <v>16949</v>
      </c>
    </row>
    <row r="159" spans="1:22">
      <c r="A159" s="61">
        <v>3422</v>
      </c>
      <c r="B159" t="s">
        <v>339</v>
      </c>
      <c r="C159" s="61">
        <v>4.3964263051748276E-2</v>
      </c>
      <c r="D159" s="61">
        <v>0.11081791669130325</v>
      </c>
      <c r="E159" s="61">
        <v>0.28163918852806091</v>
      </c>
      <c r="F159" s="61">
        <v>0.93054485321044922</v>
      </c>
      <c r="G159" s="61">
        <v>3.4983839839696884E-2</v>
      </c>
      <c r="H159" s="61">
        <v>433443</v>
      </c>
      <c r="I159" s="61">
        <v>441237</v>
      </c>
      <c r="J159" s="61">
        <v>9121</v>
      </c>
      <c r="K159" s="61">
        <v>191565</v>
      </c>
      <c r="L159" s="61">
        <v>0</v>
      </c>
      <c r="M159" s="61">
        <v>280357</v>
      </c>
      <c r="N159" s="61">
        <v>101020</v>
      </c>
      <c r="O159" s="61">
        <v>8674</v>
      </c>
      <c r="P159" s="61">
        <v>0.71766769886016846</v>
      </c>
      <c r="Q159" s="61">
        <v>24638</v>
      </c>
      <c r="R159" s="61">
        <v>396261</v>
      </c>
      <c r="S159" s="61">
        <v>8015</v>
      </c>
      <c r="T159" s="61">
        <v>19339</v>
      </c>
      <c r="U159" s="61">
        <v>9184</v>
      </c>
      <c r="V159" s="61">
        <v>572</v>
      </c>
    </row>
    <row r="160" spans="1:22">
      <c r="A160" s="61">
        <v>3423</v>
      </c>
      <c r="B160" t="s">
        <v>340</v>
      </c>
      <c r="C160" s="61">
        <v>5.0566770136356354E-2</v>
      </c>
      <c r="D160" s="61">
        <v>7.5480416417121887E-2</v>
      </c>
      <c r="E160" s="61">
        <v>0.30818796157836914</v>
      </c>
      <c r="F160" s="61">
        <v>0.93476462364196777</v>
      </c>
      <c r="G160" s="61">
        <v>2.5007171556353569E-2</v>
      </c>
      <c r="H160" s="61">
        <v>180493</v>
      </c>
      <c r="I160" s="61">
        <v>266799</v>
      </c>
      <c r="J160" s="61">
        <v>4571</v>
      </c>
      <c r="K160" s="61">
        <v>217282</v>
      </c>
      <c r="L160" s="61">
        <v>459</v>
      </c>
      <c r="M160" s="61">
        <v>141554</v>
      </c>
      <c r="N160" s="61">
        <v>52827</v>
      </c>
      <c r="O160" s="61">
        <v>1283</v>
      </c>
      <c r="P160" s="61">
        <v>0.67580902576446533</v>
      </c>
      <c r="Q160" s="61">
        <v>38172</v>
      </c>
      <c r="R160" s="61">
        <v>250996</v>
      </c>
      <c r="S160" s="61">
        <v>3119</v>
      </c>
      <c r="T160" s="61">
        <v>8971</v>
      </c>
      <c r="U160" s="61">
        <v>22718</v>
      </c>
      <c r="V160" s="61">
        <v>5355</v>
      </c>
    </row>
    <row r="161" spans="1:22">
      <c r="A161" s="61">
        <v>3424</v>
      </c>
      <c r="B161" t="s">
        <v>341</v>
      </c>
      <c r="C161" s="61">
        <v>6.4559809863567352E-2</v>
      </c>
      <c r="D161" s="61">
        <v>8.0504946410655975E-2</v>
      </c>
      <c r="E161" s="61">
        <v>0.22372631728649139</v>
      </c>
      <c r="F161" s="61">
        <v>0.89420962333679199</v>
      </c>
      <c r="G161" s="61">
        <v>1.3301046565175056E-2</v>
      </c>
      <c r="H161" s="61">
        <v>154653</v>
      </c>
      <c r="I161" s="61">
        <v>207819</v>
      </c>
      <c r="J161" s="61">
        <v>1626</v>
      </c>
      <c r="K161" s="61">
        <v>148645</v>
      </c>
      <c r="L161" s="61">
        <v>0</v>
      </c>
      <c r="M161" s="61">
        <v>106255</v>
      </c>
      <c r="N161" s="61">
        <v>41561</v>
      </c>
      <c r="O161" s="61">
        <v>3617</v>
      </c>
      <c r="P161" s="61">
        <v>0.7225533127784729</v>
      </c>
      <c r="Q161" s="61">
        <v>88313</v>
      </c>
      <c r="R161" s="61">
        <v>203286</v>
      </c>
      <c r="S161" s="61">
        <v>2067</v>
      </c>
      <c r="T161" s="61">
        <v>8629</v>
      </c>
      <c r="U161" s="61">
        <v>38133</v>
      </c>
      <c r="V161" s="61">
        <v>8842</v>
      </c>
    </row>
    <row r="162" spans="1:22">
      <c r="A162" s="61">
        <v>3425</v>
      </c>
      <c r="B162" t="s">
        <v>342</v>
      </c>
      <c r="C162" s="61">
        <v>5.5643774569034576E-2</v>
      </c>
      <c r="D162" s="61">
        <v>9.7484096884727478E-2</v>
      </c>
      <c r="E162" s="61">
        <v>0.29957759380340576</v>
      </c>
      <c r="F162" s="61">
        <v>0.95972847938537598</v>
      </c>
      <c r="G162" s="61">
        <v>3.6852680146694183E-2</v>
      </c>
      <c r="H162" s="61">
        <v>169692</v>
      </c>
      <c r="I162" s="61">
        <v>192508</v>
      </c>
      <c r="J162" s="61">
        <v>6859</v>
      </c>
      <c r="K162" s="61">
        <v>143265</v>
      </c>
      <c r="L162" s="61">
        <v>0</v>
      </c>
      <c r="M162" s="61">
        <v>-778</v>
      </c>
      <c r="N162" s="61">
        <v>28030</v>
      </c>
      <c r="O162" s="61">
        <v>33</v>
      </c>
      <c r="P162" s="61">
        <v>0.68408137559890747</v>
      </c>
      <c r="Q162" s="61">
        <v>17558</v>
      </c>
      <c r="R162" s="61">
        <v>193916</v>
      </c>
      <c r="S162" s="61">
        <v>2405</v>
      </c>
      <c r="T162" s="61">
        <v>7569</v>
      </c>
      <c r="U162" s="61">
        <v>35394</v>
      </c>
      <c r="V162" s="61">
        <v>2231</v>
      </c>
    </row>
    <row r="163" spans="1:22">
      <c r="A163" s="61">
        <v>3426</v>
      </c>
      <c r="B163" t="s">
        <v>343</v>
      </c>
      <c r="C163" s="61">
        <v>4.3683052062988281E-2</v>
      </c>
      <c r="D163" s="61">
        <v>0.12470104545354843</v>
      </c>
      <c r="E163" s="61">
        <v>0.29401123523712158</v>
      </c>
      <c r="F163" s="61">
        <v>0.91480767726898193</v>
      </c>
      <c r="G163" s="61">
        <v>9.1422097757458687E-3</v>
      </c>
      <c r="H163" s="61">
        <v>181658</v>
      </c>
      <c r="I163" s="61">
        <v>178536</v>
      </c>
      <c r="J163" s="61">
        <v>601</v>
      </c>
      <c r="K163" s="61">
        <v>67771</v>
      </c>
      <c r="L163" s="61">
        <v>0</v>
      </c>
      <c r="M163" s="61">
        <v>144932</v>
      </c>
      <c r="N163" s="61">
        <v>32457</v>
      </c>
      <c r="O163" s="61">
        <v>132</v>
      </c>
      <c r="P163" s="61">
        <v>0.64303004741668701</v>
      </c>
      <c r="Q163" s="61">
        <v>19860</v>
      </c>
      <c r="R163" s="61">
        <v>168311</v>
      </c>
      <c r="S163" s="61">
        <v>3135</v>
      </c>
      <c r="T163" s="61">
        <v>5954</v>
      </c>
      <c r="U163" s="61">
        <v>75427</v>
      </c>
      <c r="V163" s="61">
        <v>18593</v>
      </c>
    </row>
    <row r="164" spans="1:22">
      <c r="A164" s="61">
        <v>3427</v>
      </c>
      <c r="B164" t="s">
        <v>344</v>
      </c>
      <c r="C164" s="61">
        <v>4.3800253421068192E-2</v>
      </c>
      <c r="D164" s="61">
        <v>0.10521678626537323</v>
      </c>
      <c r="E164" s="61">
        <v>0.28624919056892395</v>
      </c>
      <c r="F164" s="61">
        <v>0.92786556482315063</v>
      </c>
      <c r="G164" s="61">
        <v>1.2927059084177017E-2</v>
      </c>
      <c r="H164" s="61">
        <v>508157</v>
      </c>
      <c r="I164" s="61">
        <v>633123</v>
      </c>
      <c r="J164" s="61">
        <v>2218</v>
      </c>
      <c r="K164" s="61">
        <v>273516</v>
      </c>
      <c r="L164" s="61">
        <v>0</v>
      </c>
      <c r="M164" s="61">
        <v>323966</v>
      </c>
      <c r="N164" s="61">
        <v>137474</v>
      </c>
      <c r="O164" s="61">
        <v>7403</v>
      </c>
      <c r="P164" s="61">
        <v>0.76268631219863892</v>
      </c>
      <c r="Q164" s="61">
        <v>66332</v>
      </c>
      <c r="R164" s="61">
        <v>582459</v>
      </c>
      <c r="S164" s="61">
        <v>8493</v>
      </c>
      <c r="T164" s="61">
        <v>21528</v>
      </c>
      <c r="U164" s="61">
        <v>70413</v>
      </c>
      <c r="V164" s="61">
        <v>18618</v>
      </c>
    </row>
    <row r="165" spans="1:22">
      <c r="A165" s="61">
        <v>3428</v>
      </c>
      <c r="B165" t="s">
        <v>345</v>
      </c>
      <c r="C165" s="61">
        <v>4.3980535119771957E-2</v>
      </c>
      <c r="D165" s="61">
        <v>0.16054096817970276</v>
      </c>
      <c r="E165" s="61">
        <v>0.27030038833618164</v>
      </c>
      <c r="F165" s="61">
        <v>0.91315412521362305</v>
      </c>
      <c r="G165" s="61">
        <v>1.3626850210130215E-2</v>
      </c>
      <c r="H165" s="61">
        <v>247922</v>
      </c>
      <c r="I165" s="61">
        <v>260021</v>
      </c>
      <c r="J165" s="61">
        <v>1331</v>
      </c>
      <c r="K165" s="61">
        <v>106796</v>
      </c>
      <c r="L165" s="61">
        <v>0</v>
      </c>
      <c r="M165" s="61">
        <v>203160</v>
      </c>
      <c r="N165" s="61">
        <v>55899</v>
      </c>
      <c r="O165" s="61">
        <v>4671</v>
      </c>
      <c r="P165" s="61">
        <v>0.71128618717193604</v>
      </c>
      <c r="Q165" s="61">
        <v>30904</v>
      </c>
      <c r="R165" s="61">
        <v>241019</v>
      </c>
      <c r="S165" s="61">
        <v>4181</v>
      </c>
      <c r="T165" s="61">
        <v>10953</v>
      </c>
      <c r="U165" s="61">
        <v>19071</v>
      </c>
      <c r="V165" s="61">
        <v>3798</v>
      </c>
    </row>
    <row r="166" spans="1:22">
      <c r="A166" s="61">
        <v>3429</v>
      </c>
      <c r="B166" t="s">
        <v>346</v>
      </c>
      <c r="C166" s="61">
        <v>6.0080476105213165E-2</v>
      </c>
      <c r="D166" s="61">
        <v>0.10762014240026474</v>
      </c>
      <c r="E166" s="61">
        <v>0.24862810969352722</v>
      </c>
      <c r="F166" s="61">
        <v>0.93339884281158447</v>
      </c>
      <c r="G166" s="61">
        <v>8.1063741818070412E-3</v>
      </c>
      <c r="H166" s="61">
        <v>121790</v>
      </c>
      <c r="I166" s="61">
        <v>175888</v>
      </c>
      <c r="J166" s="61">
        <v>487</v>
      </c>
      <c r="K166" s="61">
        <v>61391</v>
      </c>
      <c r="L166" s="61">
        <v>0</v>
      </c>
      <c r="M166" s="61">
        <v>83946</v>
      </c>
      <c r="N166" s="61">
        <v>35491</v>
      </c>
      <c r="O166" s="61">
        <v>901</v>
      </c>
      <c r="P166" s="61">
        <v>0.71087568998336792</v>
      </c>
      <c r="Q166" s="61">
        <v>13468</v>
      </c>
      <c r="R166" s="61">
        <v>159314</v>
      </c>
      <c r="S166" s="61">
        <v>1965</v>
      </c>
      <c r="T166" s="61">
        <v>7794</v>
      </c>
      <c r="U166" s="61">
        <v>6745</v>
      </c>
      <c r="V166" s="61">
        <v>988</v>
      </c>
    </row>
    <row r="167" spans="1:22">
      <c r="A167" s="61">
        <v>3430</v>
      </c>
      <c r="B167" t="s">
        <v>534</v>
      </c>
      <c r="C167" s="61">
        <v>3.926130011677742E-2</v>
      </c>
      <c r="D167" s="61">
        <v>0.12359023839235306</v>
      </c>
      <c r="E167" s="61">
        <v>0.30454719066619873</v>
      </c>
      <c r="F167" s="61">
        <v>0.90184104442596436</v>
      </c>
      <c r="G167" s="61">
        <v>1.0077249258756638E-2</v>
      </c>
      <c r="H167" s="61">
        <v>203219</v>
      </c>
      <c r="I167" s="61">
        <v>248109</v>
      </c>
      <c r="J167" s="61">
        <v>837</v>
      </c>
      <c r="K167" s="61">
        <v>115568</v>
      </c>
      <c r="L167" s="61">
        <v>0</v>
      </c>
      <c r="M167" s="61">
        <v>143757</v>
      </c>
      <c r="N167" s="61">
        <v>68420</v>
      </c>
      <c r="O167" s="61">
        <v>83</v>
      </c>
      <c r="P167" s="61">
        <v>1.1196839809417725</v>
      </c>
      <c r="Q167" s="61">
        <v>42185</v>
      </c>
      <c r="R167" s="61">
        <v>214642</v>
      </c>
      <c r="S167" s="61">
        <v>3534</v>
      </c>
      <c r="T167" s="61">
        <v>8000</v>
      </c>
      <c r="U167" s="61">
        <v>40991</v>
      </c>
      <c r="V167" s="61">
        <v>20330</v>
      </c>
    </row>
    <row r="168" spans="1:22">
      <c r="A168" s="61">
        <v>3431</v>
      </c>
      <c r="B168" t="s">
        <v>347</v>
      </c>
      <c r="C168" s="61">
        <v>4.7481417655944824E-2</v>
      </c>
      <c r="D168" s="61">
        <v>0.10407735407352448</v>
      </c>
      <c r="E168" s="61">
        <v>0.18901336193084717</v>
      </c>
      <c r="F168" s="61">
        <v>0.9378545880317688</v>
      </c>
      <c r="G168" s="61">
        <v>6.0003932565450668E-2</v>
      </c>
      <c r="H168" s="61">
        <v>218148</v>
      </c>
      <c r="I168" s="61">
        <v>266745</v>
      </c>
      <c r="J168" s="61">
        <v>8281</v>
      </c>
      <c r="K168" s="61">
        <v>110523</v>
      </c>
      <c r="L168" s="61">
        <v>0</v>
      </c>
      <c r="M168" s="61">
        <v>92883</v>
      </c>
      <c r="N168" s="61">
        <v>58865</v>
      </c>
      <c r="O168" s="61">
        <v>0</v>
      </c>
      <c r="P168" s="61">
        <v>0.71352672576904297</v>
      </c>
      <c r="Q168" s="61">
        <v>12948</v>
      </c>
      <c r="R168" s="61">
        <v>248354</v>
      </c>
      <c r="S168" s="61">
        <v>3254</v>
      </c>
      <c r="T168" s="61">
        <v>10432</v>
      </c>
      <c r="U168" s="61">
        <v>10825</v>
      </c>
      <c r="V168" s="61">
        <v>2139</v>
      </c>
    </row>
    <row r="169" spans="1:22">
      <c r="A169" s="61">
        <v>3432</v>
      </c>
      <c r="B169" t="s">
        <v>348</v>
      </c>
      <c r="C169" s="61">
        <v>3.6774042993783951E-2</v>
      </c>
      <c r="D169" s="61">
        <v>0.17659305036067963</v>
      </c>
      <c r="E169" s="61">
        <v>0.33644956350326538</v>
      </c>
      <c r="F169" s="61">
        <v>0.92445451021194458</v>
      </c>
      <c r="G169" s="61">
        <v>4.4653069227933884E-2</v>
      </c>
      <c r="H169" s="61">
        <v>249024</v>
      </c>
      <c r="I169" s="61">
        <v>245310</v>
      </c>
      <c r="J169" s="61">
        <v>8640</v>
      </c>
      <c r="K169" s="61">
        <v>159493</v>
      </c>
      <c r="L169" s="61">
        <v>0</v>
      </c>
      <c r="M169" s="61">
        <v>-42802</v>
      </c>
      <c r="N169" s="61">
        <v>46811</v>
      </c>
      <c r="O169" s="61">
        <v>7837</v>
      </c>
      <c r="P169" s="61">
        <v>0.7334740161895752</v>
      </c>
      <c r="Q169" s="61">
        <v>32296</v>
      </c>
      <c r="R169" s="61">
        <v>230725</v>
      </c>
      <c r="S169" s="61">
        <v>4403</v>
      </c>
      <c r="T169" s="61">
        <v>9441</v>
      </c>
      <c r="U169" s="61">
        <v>65261</v>
      </c>
      <c r="V169" s="61">
        <v>66772</v>
      </c>
    </row>
    <row r="170" spans="1:22">
      <c r="A170" s="61">
        <v>3433</v>
      </c>
      <c r="B170" t="s">
        <v>349</v>
      </c>
      <c r="C170" s="61">
        <v>4.0086735039949417E-2</v>
      </c>
      <c r="D170" s="61">
        <v>0.15806366503238678</v>
      </c>
      <c r="E170" s="61">
        <v>0.3087330162525177</v>
      </c>
      <c r="F170" s="61">
        <v>0.91783612966537476</v>
      </c>
      <c r="G170" s="61">
        <v>3.2537739723920822E-2</v>
      </c>
      <c r="H170" s="61">
        <v>252605</v>
      </c>
      <c r="I170" s="61">
        <v>254491</v>
      </c>
      <c r="J170" s="61">
        <v>5441</v>
      </c>
      <c r="K170" s="61">
        <v>255434</v>
      </c>
      <c r="L170" s="61">
        <v>0</v>
      </c>
      <c r="M170" s="61">
        <v>87865</v>
      </c>
      <c r="N170" s="61">
        <v>50465</v>
      </c>
      <c r="O170" s="61">
        <v>20035</v>
      </c>
      <c r="P170" s="61">
        <v>0.71082735061645508</v>
      </c>
      <c r="Q170" s="61">
        <v>35948</v>
      </c>
      <c r="R170" s="61">
        <v>232091</v>
      </c>
      <c r="S170" s="61">
        <v>3892</v>
      </c>
      <c r="T170" s="61">
        <v>10445</v>
      </c>
      <c r="U170" s="61">
        <v>27997</v>
      </c>
      <c r="V170" s="61">
        <v>14186</v>
      </c>
    </row>
    <row r="171" spans="1:22">
      <c r="A171" s="61">
        <v>3434</v>
      </c>
      <c r="B171" t="s">
        <v>350</v>
      </c>
      <c r="C171" s="61">
        <v>3.6501917988061905E-2</v>
      </c>
      <c r="D171" s="61">
        <v>0.12880441546440125</v>
      </c>
      <c r="E171" s="61">
        <v>0.23598037660121918</v>
      </c>
      <c r="F171" s="61">
        <v>0.92260026931762695</v>
      </c>
      <c r="G171" s="61">
        <v>4.3545551598072052E-2</v>
      </c>
      <c r="H171" s="61">
        <v>244894</v>
      </c>
      <c r="I171" s="61">
        <v>250251</v>
      </c>
      <c r="J171" s="61">
        <v>9575</v>
      </c>
      <c r="K171" s="61">
        <v>184625</v>
      </c>
      <c r="L171" s="61">
        <v>0</v>
      </c>
      <c r="M171" s="61">
        <v>138298</v>
      </c>
      <c r="N171" s="61">
        <v>51698</v>
      </c>
      <c r="O171" s="61">
        <v>6826</v>
      </c>
      <c r="P171" s="61">
        <v>0.7180628776550293</v>
      </c>
      <c r="Q171" s="61">
        <v>38732</v>
      </c>
      <c r="R171" s="61">
        <v>236996</v>
      </c>
      <c r="S171" s="61">
        <v>4120</v>
      </c>
      <c r="T171" s="61">
        <v>9239</v>
      </c>
      <c r="U171" s="61">
        <v>7490</v>
      </c>
      <c r="V171" s="61">
        <v>2336</v>
      </c>
    </row>
    <row r="172" spans="1:22">
      <c r="A172" s="61">
        <v>3435</v>
      </c>
      <c r="B172" t="s">
        <v>351</v>
      </c>
      <c r="C172" s="61">
        <v>4.3555222451686859E-2</v>
      </c>
      <c r="D172" s="61">
        <v>0.14128689467906952</v>
      </c>
      <c r="E172" s="61">
        <v>0.23549829423427582</v>
      </c>
      <c r="F172" s="61">
        <v>0.92032545804977417</v>
      </c>
      <c r="G172" s="61">
        <v>4.2184792459011078E-2</v>
      </c>
      <c r="H172" s="61">
        <v>347281</v>
      </c>
      <c r="I172" s="61">
        <v>366536</v>
      </c>
      <c r="J172" s="61">
        <v>10277</v>
      </c>
      <c r="K172" s="61">
        <v>218717</v>
      </c>
      <c r="L172" s="61">
        <v>0</v>
      </c>
      <c r="M172" s="61">
        <v>202341</v>
      </c>
      <c r="N172" s="61">
        <v>81822</v>
      </c>
      <c r="O172" s="61">
        <v>4646</v>
      </c>
      <c r="P172" s="61">
        <v>0.70926052331924438</v>
      </c>
      <c r="Q172" s="61">
        <v>61073</v>
      </c>
      <c r="R172" s="61">
        <v>329790</v>
      </c>
      <c r="S172" s="61">
        <v>6581</v>
      </c>
      <c r="T172" s="61">
        <v>14985</v>
      </c>
      <c r="U172" s="61">
        <v>18142</v>
      </c>
      <c r="V172" s="61">
        <v>2883</v>
      </c>
    </row>
    <row r="173" spans="1:22">
      <c r="A173" s="61">
        <v>3436</v>
      </c>
      <c r="B173" t="s">
        <v>352</v>
      </c>
      <c r="C173" s="61">
        <v>6.8772219121456146E-2</v>
      </c>
      <c r="D173" s="61">
        <v>0.15349797904491425</v>
      </c>
      <c r="E173" s="61">
        <v>0.32603931427001953</v>
      </c>
      <c r="F173" s="61">
        <v>0.92440980672836304</v>
      </c>
      <c r="G173" s="61">
        <v>3.3319748938083649E-2</v>
      </c>
      <c r="H173" s="61">
        <v>522657</v>
      </c>
      <c r="I173" s="61">
        <v>631942</v>
      </c>
      <c r="J173" s="61">
        <v>13390</v>
      </c>
      <c r="K173" s="61">
        <v>371259</v>
      </c>
      <c r="L173" s="61">
        <v>0</v>
      </c>
      <c r="M173" s="61">
        <v>387183</v>
      </c>
      <c r="N173" s="61">
        <v>143862</v>
      </c>
      <c r="O173" s="61">
        <v>19540</v>
      </c>
      <c r="P173" s="61">
        <v>0.7779044508934021</v>
      </c>
      <c r="Q173" s="61">
        <v>66881</v>
      </c>
      <c r="R173" s="61">
        <v>561948</v>
      </c>
      <c r="S173" s="61">
        <v>10531</v>
      </c>
      <c r="T173" s="61">
        <v>35480</v>
      </c>
      <c r="U173" s="61">
        <v>67339</v>
      </c>
      <c r="V173" s="61">
        <v>7821</v>
      </c>
    </row>
    <row r="174" spans="1:22">
      <c r="A174" s="61">
        <v>3437</v>
      </c>
      <c r="B174" t="s">
        <v>353</v>
      </c>
      <c r="C174" s="61">
        <v>3.9922937750816345E-2</v>
      </c>
      <c r="D174" s="61">
        <v>0.12382759898900986</v>
      </c>
      <c r="E174" s="61">
        <v>0.33836740255355835</v>
      </c>
      <c r="F174" s="61">
        <v>0.93558919429779053</v>
      </c>
      <c r="G174" s="61">
        <v>3.107580728828907E-2</v>
      </c>
      <c r="H174" s="61">
        <v>542653</v>
      </c>
      <c r="I174" s="61">
        <v>630530</v>
      </c>
      <c r="J174" s="61">
        <v>9952</v>
      </c>
      <c r="K174" s="61">
        <v>287786</v>
      </c>
      <c r="L174" s="61">
        <v>0</v>
      </c>
      <c r="M174" s="61">
        <v>290894</v>
      </c>
      <c r="N174" s="61">
        <v>120815</v>
      </c>
      <c r="O174" s="61">
        <v>785</v>
      </c>
      <c r="P174" s="61">
        <v>0.65146118402481079</v>
      </c>
      <c r="Q174" s="61">
        <v>87727</v>
      </c>
      <c r="R174" s="61">
        <v>587133</v>
      </c>
      <c r="S174" s="61">
        <v>9291</v>
      </c>
      <c r="T174" s="61">
        <v>21116</v>
      </c>
      <c r="U174" s="61">
        <v>66197</v>
      </c>
      <c r="V174" s="61">
        <v>21372</v>
      </c>
    </row>
    <row r="175" spans="1:22">
      <c r="A175" s="61">
        <v>3438</v>
      </c>
      <c r="B175" t="s">
        <v>354</v>
      </c>
      <c r="C175" s="61">
        <v>4.7712091356515884E-2</v>
      </c>
      <c r="D175" s="61">
        <v>0.12973466515541077</v>
      </c>
      <c r="E175" s="61">
        <v>0.42809122800827026</v>
      </c>
      <c r="F175" s="61">
        <v>0.94159424304962158</v>
      </c>
      <c r="G175" s="61">
        <v>4.7225680202245712E-2</v>
      </c>
      <c r="H175" s="61">
        <v>257443</v>
      </c>
      <c r="I175" s="61">
        <v>362324</v>
      </c>
      <c r="J175" s="61">
        <v>7150</v>
      </c>
      <c r="K175" s="61">
        <v>165700</v>
      </c>
      <c r="L175" s="61">
        <v>0</v>
      </c>
      <c r="M175" s="61">
        <v>136740</v>
      </c>
      <c r="N175" s="61">
        <v>77582</v>
      </c>
      <c r="O175" s="61">
        <v>6108</v>
      </c>
      <c r="P175" s="61">
        <v>0.76974964141845703</v>
      </c>
      <c r="Q175" s="61">
        <v>30586</v>
      </c>
      <c r="R175" s="61">
        <v>352477</v>
      </c>
      <c r="S175" s="61">
        <v>4489</v>
      </c>
      <c r="T175" s="61">
        <v>11550</v>
      </c>
      <c r="U175" s="61">
        <v>45410</v>
      </c>
      <c r="V175" s="61">
        <v>8651</v>
      </c>
    </row>
    <row r="176" spans="1:22">
      <c r="A176" s="61">
        <v>3439</v>
      </c>
      <c r="B176" t="s">
        <v>355</v>
      </c>
      <c r="C176" s="61">
        <v>3.6215867847204208E-2</v>
      </c>
      <c r="D176" s="61">
        <v>0.16729611158370972</v>
      </c>
      <c r="E176" s="61">
        <v>0.37569239735603333</v>
      </c>
      <c r="F176" s="61">
        <v>0.91840660572052002</v>
      </c>
      <c r="G176" s="61">
        <v>4.4796988368034363E-2</v>
      </c>
      <c r="H176" s="61">
        <v>627531</v>
      </c>
      <c r="I176" s="61">
        <v>503086</v>
      </c>
      <c r="J176" s="61">
        <v>14875</v>
      </c>
      <c r="K176" s="61">
        <v>337766</v>
      </c>
      <c r="L176" s="61">
        <v>0</v>
      </c>
      <c r="M176" s="61">
        <v>410818</v>
      </c>
      <c r="N176" s="61">
        <v>121117</v>
      </c>
      <c r="O176" s="61">
        <v>0</v>
      </c>
      <c r="P176" s="61">
        <v>0.85338830947875977</v>
      </c>
      <c r="Q176" s="61">
        <v>89086</v>
      </c>
      <c r="R176" s="61">
        <v>482540</v>
      </c>
      <c r="S176" s="61">
        <v>11152</v>
      </c>
      <c r="T176" s="61">
        <v>20730</v>
      </c>
      <c r="U176" s="61">
        <v>90816</v>
      </c>
      <c r="V176" s="61">
        <v>64137</v>
      </c>
    </row>
    <row r="177" spans="1:22">
      <c r="A177" s="61">
        <v>3440</v>
      </c>
      <c r="B177" t="s">
        <v>356</v>
      </c>
      <c r="C177" s="61">
        <v>4.4853605329990387E-2</v>
      </c>
      <c r="D177" s="61">
        <v>0.19891174137592316</v>
      </c>
      <c r="E177" s="61">
        <v>0.35135534405708313</v>
      </c>
      <c r="F177" s="61">
        <v>0.90602821111679077</v>
      </c>
      <c r="G177" s="61">
        <v>5.0431601703166962E-2</v>
      </c>
      <c r="H177" s="61">
        <v>610622</v>
      </c>
      <c r="I177" s="61">
        <v>547214</v>
      </c>
      <c r="J177" s="61">
        <v>16043</v>
      </c>
      <c r="K177" s="61">
        <v>313743</v>
      </c>
      <c r="L177" s="61">
        <v>0</v>
      </c>
      <c r="M177" s="61">
        <v>321594</v>
      </c>
      <c r="N177" s="61">
        <v>154086</v>
      </c>
      <c r="O177" s="61">
        <v>153</v>
      </c>
      <c r="P177" s="61">
        <v>0.93496835231781006</v>
      </c>
      <c r="Q177" s="61">
        <v>52501</v>
      </c>
      <c r="R177" s="61">
        <v>516178</v>
      </c>
      <c r="S177" s="61">
        <v>12159</v>
      </c>
      <c r="T177" s="61">
        <v>26636</v>
      </c>
      <c r="U177" s="61">
        <v>46231</v>
      </c>
      <c r="V177" s="61">
        <v>16009</v>
      </c>
    </row>
    <row r="178" spans="1:22">
      <c r="A178" s="61">
        <v>3441</v>
      </c>
      <c r="B178" t="s">
        <v>357</v>
      </c>
      <c r="C178" s="61">
        <v>3.4238073974847794E-2</v>
      </c>
      <c r="D178" s="61">
        <v>0.18109771609306335</v>
      </c>
      <c r="E178" s="61">
        <v>0.28887763619422913</v>
      </c>
      <c r="F178" s="61">
        <v>0.93743133544921875</v>
      </c>
      <c r="G178" s="61">
        <v>3.0597943812608719E-2</v>
      </c>
      <c r="H178" s="61">
        <v>794592</v>
      </c>
      <c r="I178" s="61">
        <v>577340</v>
      </c>
      <c r="J178" s="61">
        <v>17048</v>
      </c>
      <c r="K178" s="61">
        <v>577266</v>
      </c>
      <c r="L178" s="61">
        <v>0</v>
      </c>
      <c r="M178" s="61">
        <v>427373</v>
      </c>
      <c r="N178" s="61">
        <v>158330</v>
      </c>
      <c r="O178" s="61">
        <v>1857</v>
      </c>
      <c r="P178" s="61">
        <v>0.80243581533432007</v>
      </c>
      <c r="Q178" s="61">
        <v>44210</v>
      </c>
      <c r="R178" s="61">
        <v>557198</v>
      </c>
      <c r="S178" s="61">
        <v>14172</v>
      </c>
      <c r="T178" s="61">
        <v>26287</v>
      </c>
      <c r="U178" s="61">
        <v>115760</v>
      </c>
      <c r="V178" s="61">
        <v>40392</v>
      </c>
    </row>
    <row r="179" spans="1:22">
      <c r="A179" s="61">
        <v>3442</v>
      </c>
      <c r="B179" t="s">
        <v>358</v>
      </c>
      <c r="C179" s="61">
        <v>2.6496168226003647E-2</v>
      </c>
      <c r="D179" s="61">
        <v>0.14819630980491638</v>
      </c>
      <c r="E179" s="61">
        <v>0.26246932148933411</v>
      </c>
      <c r="F179" s="61">
        <v>0.93257510662078857</v>
      </c>
      <c r="G179" s="61">
        <v>2.0883811637759209E-2</v>
      </c>
      <c r="H179" s="61">
        <v>1620268</v>
      </c>
      <c r="I179" s="61">
        <v>1254075</v>
      </c>
      <c r="J179" s="61">
        <v>19628</v>
      </c>
      <c r="K179" s="61">
        <v>892684</v>
      </c>
      <c r="L179" s="61">
        <v>0</v>
      </c>
      <c r="M179" s="61">
        <v>819363</v>
      </c>
      <c r="N179" s="61">
        <v>373662</v>
      </c>
      <c r="O179" s="61">
        <v>423</v>
      </c>
      <c r="P179" s="61">
        <v>0.77227860689163208</v>
      </c>
      <c r="Q179" s="61">
        <v>114981</v>
      </c>
      <c r="R179" s="61">
        <v>1203094</v>
      </c>
      <c r="S179" s="61">
        <v>24495</v>
      </c>
      <c r="T179" s="61">
        <v>47040</v>
      </c>
      <c r="U179" s="61">
        <v>310989</v>
      </c>
      <c r="V179" s="61">
        <v>243896</v>
      </c>
    </row>
    <row r="180" spans="1:22">
      <c r="A180" s="61">
        <v>3443</v>
      </c>
      <c r="B180" t="s">
        <v>359</v>
      </c>
      <c r="C180" s="61">
        <v>2.9732024297118187E-2</v>
      </c>
      <c r="D180" s="61">
        <v>0.15946942567825317</v>
      </c>
      <c r="E180" s="61">
        <v>0.23903566598892212</v>
      </c>
      <c r="F180" s="61">
        <v>0.92193698883056641</v>
      </c>
      <c r="G180" s="61">
        <v>1.7813898622989655E-2</v>
      </c>
      <c r="H180" s="61">
        <v>2044760</v>
      </c>
      <c r="I180" s="61">
        <v>1092336</v>
      </c>
      <c r="J180" s="61">
        <v>11100</v>
      </c>
      <c r="K180" s="61">
        <v>787429</v>
      </c>
      <c r="L180" s="61">
        <v>0</v>
      </c>
      <c r="M180" s="61">
        <v>1220848</v>
      </c>
      <c r="N180" s="61">
        <v>322559</v>
      </c>
      <c r="O180" s="61">
        <v>0</v>
      </c>
      <c r="P180" s="61">
        <v>0.74341970682144165</v>
      </c>
      <c r="Q180" s="61">
        <v>47427</v>
      </c>
      <c r="R180" s="61">
        <v>1038981</v>
      </c>
      <c r="S180" s="61">
        <v>35102</v>
      </c>
      <c r="T180" s="61">
        <v>53294</v>
      </c>
      <c r="U180" s="61">
        <v>182535</v>
      </c>
      <c r="V180" s="61">
        <v>52744</v>
      </c>
    </row>
    <row r="181" spans="1:22">
      <c r="A181" s="61">
        <v>3446</v>
      </c>
      <c r="B181" t="s">
        <v>360</v>
      </c>
      <c r="C181" s="61">
        <v>4.9073744565248489E-2</v>
      </c>
      <c r="D181" s="61">
        <v>0.11860166490077972</v>
      </c>
      <c r="E181" s="61">
        <v>0.24018445611000061</v>
      </c>
      <c r="F181" s="61">
        <v>0.93115526437759399</v>
      </c>
      <c r="G181" s="61">
        <v>1.7269372940063477E-2</v>
      </c>
      <c r="H181" s="61">
        <v>1140360</v>
      </c>
      <c r="I181" s="61">
        <v>1189617</v>
      </c>
      <c r="J181" s="61">
        <v>7795</v>
      </c>
      <c r="K181" s="61">
        <v>582018</v>
      </c>
      <c r="L181" s="61">
        <v>0</v>
      </c>
      <c r="M181" s="61">
        <v>598298</v>
      </c>
      <c r="N181" s="61">
        <v>358274</v>
      </c>
      <c r="O181" s="61">
        <v>717</v>
      </c>
      <c r="P181" s="61">
        <v>0.81343591213226318</v>
      </c>
      <c r="Q181" s="61">
        <v>106170</v>
      </c>
      <c r="R181" s="61">
        <v>1107057</v>
      </c>
      <c r="S181" s="61">
        <v>18829</v>
      </c>
      <c r="T181" s="61">
        <v>50133</v>
      </c>
      <c r="U181" s="61">
        <v>141508</v>
      </c>
      <c r="V181" s="61">
        <v>24923</v>
      </c>
    </row>
    <row r="182" spans="1:22">
      <c r="A182" s="61">
        <v>3447</v>
      </c>
      <c r="B182" t="s">
        <v>361</v>
      </c>
      <c r="C182" s="61">
        <v>4.9312926828861237E-2</v>
      </c>
      <c r="D182" s="61">
        <v>0.12677191197872162</v>
      </c>
      <c r="E182" s="61">
        <v>0.32796430587768555</v>
      </c>
      <c r="F182" s="61">
        <v>0.96123331785202026</v>
      </c>
      <c r="G182" s="61">
        <v>1.4383001253008842E-2</v>
      </c>
      <c r="H182" s="61">
        <v>726256</v>
      </c>
      <c r="I182" s="61">
        <v>562350</v>
      </c>
      <c r="J182" s="61">
        <v>6221</v>
      </c>
      <c r="K182" s="61">
        <v>531301</v>
      </c>
      <c r="L182" s="61">
        <v>0</v>
      </c>
      <c r="M182" s="61">
        <v>444044</v>
      </c>
      <c r="N182" s="61">
        <v>121300</v>
      </c>
      <c r="O182" s="61">
        <v>719</v>
      </c>
      <c r="P182" s="61">
        <v>0.66828280687332153</v>
      </c>
      <c r="Q182" s="61">
        <v>59264</v>
      </c>
      <c r="R182" s="61">
        <v>553104</v>
      </c>
      <c r="S182" s="61">
        <v>6823</v>
      </c>
      <c r="T182" s="61">
        <v>26868</v>
      </c>
      <c r="U182" s="61">
        <v>276342</v>
      </c>
      <c r="V182" s="61">
        <v>114020</v>
      </c>
    </row>
    <row r="183" spans="1:22">
      <c r="A183" s="61">
        <v>3448</v>
      </c>
      <c r="B183" t="s">
        <v>362</v>
      </c>
      <c r="C183" s="61">
        <v>4.8660863190889359E-2</v>
      </c>
      <c r="D183" s="61">
        <v>8.9256584644317627E-2</v>
      </c>
      <c r="E183" s="61">
        <v>0.19169454276561737</v>
      </c>
      <c r="F183" s="61">
        <v>0.93770521879196167</v>
      </c>
      <c r="G183" s="61">
        <v>2.3164942860603333E-2</v>
      </c>
      <c r="H183" s="61">
        <v>612363</v>
      </c>
      <c r="I183" s="61">
        <v>633271</v>
      </c>
      <c r="J183" s="61">
        <v>7131</v>
      </c>
      <c r="K183" s="61">
        <v>484810</v>
      </c>
      <c r="L183" s="61">
        <v>0</v>
      </c>
      <c r="M183" s="61">
        <v>275924</v>
      </c>
      <c r="N183" s="61">
        <v>145193</v>
      </c>
      <c r="O183" s="61">
        <v>9562</v>
      </c>
      <c r="P183" s="61">
        <v>0.67739123106002808</v>
      </c>
      <c r="Q183" s="61">
        <v>70284</v>
      </c>
      <c r="R183" s="61">
        <v>600144</v>
      </c>
      <c r="S183" s="61">
        <v>9682</v>
      </c>
      <c r="T183" s="61">
        <v>24010</v>
      </c>
      <c r="U183" s="61">
        <v>172185</v>
      </c>
      <c r="V183" s="61">
        <v>37556</v>
      </c>
    </row>
    <row r="184" spans="1:22">
      <c r="A184" s="61">
        <v>3449</v>
      </c>
      <c r="B184" t="s">
        <v>363</v>
      </c>
      <c r="C184" s="61">
        <v>3.623000904917717E-2</v>
      </c>
      <c r="D184" s="61">
        <v>7.7420301735401154E-2</v>
      </c>
      <c r="E184" s="61">
        <v>0.23148038983345032</v>
      </c>
      <c r="F184" s="61">
        <v>0.92874336242675781</v>
      </c>
      <c r="G184" s="61">
        <v>1.6443636268377304E-2</v>
      </c>
      <c r="H184" s="61">
        <v>253294</v>
      </c>
      <c r="I184" s="61">
        <v>344037</v>
      </c>
      <c r="J184" s="61">
        <v>1240</v>
      </c>
      <c r="K184" s="61">
        <v>105992</v>
      </c>
      <c r="L184" s="61">
        <v>0</v>
      </c>
      <c r="M184" s="61">
        <v>223817</v>
      </c>
      <c r="N184" s="61">
        <v>67917</v>
      </c>
      <c r="O184" s="61">
        <v>5896</v>
      </c>
      <c r="P184" s="61">
        <v>0.71149510145187378</v>
      </c>
      <c r="Q184" s="61">
        <v>43796</v>
      </c>
      <c r="R184" s="61">
        <v>323657</v>
      </c>
      <c r="S184" s="61">
        <v>6505</v>
      </c>
      <c r="T184" s="61">
        <v>8819</v>
      </c>
      <c r="U184" s="61">
        <v>20911</v>
      </c>
      <c r="V184" s="61">
        <v>3789</v>
      </c>
    </row>
    <row r="185" spans="1:22">
      <c r="A185" s="61">
        <v>3450</v>
      </c>
      <c r="B185" t="s">
        <v>364</v>
      </c>
      <c r="C185" s="61">
        <v>4.9724064767360687E-2</v>
      </c>
      <c r="D185" s="61">
        <v>9.5957942306995392E-2</v>
      </c>
      <c r="E185" s="61">
        <v>0.26577281951904297</v>
      </c>
      <c r="F185" s="61">
        <v>0.95575922727584839</v>
      </c>
      <c r="G185" s="61">
        <v>2.8316054493188858E-2</v>
      </c>
      <c r="H185" s="61">
        <v>91524</v>
      </c>
      <c r="I185" s="61">
        <v>151055</v>
      </c>
      <c r="J185" s="61">
        <v>2887</v>
      </c>
      <c r="K185" s="61">
        <v>140552</v>
      </c>
      <c r="L185" s="61">
        <v>0</v>
      </c>
      <c r="M185" s="61"/>
      <c r="N185" s="61">
        <v>30806</v>
      </c>
      <c r="O185" s="61">
        <v>0</v>
      </c>
      <c r="P185" s="61">
        <v>0.74536442756652832</v>
      </c>
      <c r="Q185" s="61">
        <v>39990</v>
      </c>
      <c r="R185" s="61">
        <v>144492</v>
      </c>
      <c r="S185" s="61">
        <v>1722</v>
      </c>
      <c r="T185" s="61">
        <v>4460</v>
      </c>
      <c r="U185" s="61">
        <v>11591</v>
      </c>
      <c r="V185" s="61">
        <v>3709</v>
      </c>
    </row>
    <row r="186" spans="1:22">
      <c r="A186" s="61">
        <v>3451</v>
      </c>
      <c r="B186" t="s">
        <v>365</v>
      </c>
      <c r="C186" s="61">
        <v>4.4330809265375137E-2</v>
      </c>
      <c r="D186" s="61">
        <v>0.10689058154821396</v>
      </c>
      <c r="E186" s="61">
        <v>0.26337981224060059</v>
      </c>
      <c r="F186" s="61">
        <v>0.94010108709335327</v>
      </c>
      <c r="G186" s="61">
        <v>2.0104642957448959E-2</v>
      </c>
      <c r="H186" s="61">
        <v>525365</v>
      </c>
      <c r="I186" s="61">
        <v>770276</v>
      </c>
      <c r="J186" s="61">
        <v>5643</v>
      </c>
      <c r="K186" s="61">
        <v>342333</v>
      </c>
      <c r="L186" s="61">
        <v>0</v>
      </c>
      <c r="M186" s="61">
        <v>433400</v>
      </c>
      <c r="N186" s="61">
        <v>165724</v>
      </c>
      <c r="O186" s="61">
        <v>9295</v>
      </c>
      <c r="P186" s="61">
        <v>0.79970180988311768</v>
      </c>
      <c r="Q186" s="61">
        <v>185018</v>
      </c>
      <c r="R186" s="61">
        <v>745214</v>
      </c>
      <c r="S186" s="61">
        <v>6969</v>
      </c>
      <c r="T186" s="61">
        <v>21907</v>
      </c>
      <c r="U186" s="61">
        <v>95566</v>
      </c>
      <c r="V186" s="61">
        <v>18614</v>
      </c>
    </row>
    <row r="187" spans="1:22">
      <c r="A187" s="61">
        <v>3452</v>
      </c>
      <c r="B187" t="s">
        <v>366</v>
      </c>
      <c r="C187" s="61">
        <v>5.7124461978673935E-2</v>
      </c>
      <c r="D187" s="61">
        <v>8.8358558714389801E-2</v>
      </c>
      <c r="E187" s="61">
        <v>0.3420930802822113</v>
      </c>
      <c r="F187" s="61">
        <v>0.92014896869659424</v>
      </c>
      <c r="G187" s="61">
        <v>3.6395195871591568E-2</v>
      </c>
      <c r="H187" s="61">
        <v>154705</v>
      </c>
      <c r="I187" s="61">
        <v>238494</v>
      </c>
      <c r="J187" s="61">
        <v>5940</v>
      </c>
      <c r="K187" s="61">
        <v>157841</v>
      </c>
      <c r="L187" s="61">
        <v>0</v>
      </c>
      <c r="M187" s="61">
        <v>106638</v>
      </c>
      <c r="N187" s="61">
        <v>63261</v>
      </c>
      <c r="O187" s="61">
        <v>2455</v>
      </c>
      <c r="P187" s="61">
        <v>0.92125749588012695</v>
      </c>
      <c r="Q187" s="61">
        <v>56355</v>
      </c>
      <c r="R187" s="61">
        <v>233605</v>
      </c>
      <c r="S187" s="61">
        <v>1815</v>
      </c>
      <c r="T187" s="61">
        <v>7187</v>
      </c>
      <c r="U187" s="61">
        <v>41651</v>
      </c>
      <c r="V187" s="61">
        <v>12941</v>
      </c>
    </row>
    <row r="188" spans="1:22">
      <c r="A188" s="61">
        <v>3453</v>
      </c>
      <c r="B188" t="s">
        <v>367</v>
      </c>
      <c r="C188" s="61">
        <v>4.5073214918375015E-2</v>
      </c>
      <c r="D188" s="61">
        <v>0.21589821577072144</v>
      </c>
      <c r="E188" s="61">
        <v>0.25336623191833496</v>
      </c>
      <c r="F188" s="61">
        <v>0.92358922958374023</v>
      </c>
      <c r="G188" s="61">
        <v>2.6481457054615021E-2</v>
      </c>
      <c r="H188" s="61">
        <v>492929</v>
      </c>
      <c r="I188" s="61">
        <v>349617</v>
      </c>
      <c r="J188" s="61">
        <v>6600</v>
      </c>
      <c r="K188" s="61">
        <v>273266</v>
      </c>
      <c r="L188" s="61">
        <v>0</v>
      </c>
      <c r="M188" s="61">
        <v>300167</v>
      </c>
      <c r="N188" s="61">
        <v>100080</v>
      </c>
      <c r="O188" s="61">
        <v>5417</v>
      </c>
      <c r="P188" s="61">
        <v>0.95914256572723389</v>
      </c>
      <c r="Q188" s="61">
        <v>50913</v>
      </c>
      <c r="R188" s="61">
        <v>331956</v>
      </c>
      <c r="S188" s="61">
        <v>3509</v>
      </c>
      <c r="T188" s="61">
        <v>16360</v>
      </c>
      <c r="U188" s="61">
        <v>210754</v>
      </c>
      <c r="V188" s="61">
        <v>44355</v>
      </c>
    </row>
    <row r="189" spans="1:22">
      <c r="A189" s="61">
        <v>3454</v>
      </c>
      <c r="B189" t="s">
        <v>368</v>
      </c>
      <c r="C189" s="61">
        <v>4.1741199791431427E-2</v>
      </c>
      <c r="D189" s="61">
        <v>0.14833995699882507</v>
      </c>
      <c r="E189" s="61">
        <v>0.30487650632858276</v>
      </c>
      <c r="F189" s="61">
        <v>0.92604053020477295</v>
      </c>
      <c r="G189" s="61">
        <v>3.6498602479696274E-2</v>
      </c>
      <c r="H189" s="61">
        <v>198255</v>
      </c>
      <c r="I189" s="61">
        <v>231584</v>
      </c>
      <c r="J189" s="61">
        <v>-1443</v>
      </c>
      <c r="K189" s="61">
        <v>177923</v>
      </c>
      <c r="L189" s="61">
        <v>0</v>
      </c>
      <c r="M189" s="61">
        <v>125486</v>
      </c>
      <c r="N189" s="61">
        <v>38226</v>
      </c>
      <c r="O189" s="61">
        <v>37370</v>
      </c>
      <c r="P189" s="61">
        <v>0.7496451735496521</v>
      </c>
      <c r="Q189" s="61">
        <v>26005</v>
      </c>
      <c r="R189" s="61">
        <v>217257</v>
      </c>
      <c r="S189" s="61">
        <v>2936</v>
      </c>
      <c r="T189" s="61">
        <v>6697</v>
      </c>
      <c r="U189" s="61">
        <v>25449</v>
      </c>
      <c r="V189" s="61">
        <v>6663</v>
      </c>
    </row>
    <row r="190" spans="1:22">
      <c r="A190" s="61">
        <v>3801</v>
      </c>
      <c r="B190" t="s">
        <v>369</v>
      </c>
      <c r="C190" s="61">
        <v>3.6176871508359909E-2</v>
      </c>
      <c r="D190" s="61">
        <v>0.14689303934574127</v>
      </c>
      <c r="E190" s="61">
        <v>0.23778396844863892</v>
      </c>
      <c r="F190" s="61">
        <v>0.92623752355575562</v>
      </c>
      <c r="G190" s="61">
        <v>1.2373944744467735E-2</v>
      </c>
      <c r="H190" s="61">
        <v>3011396</v>
      </c>
      <c r="I190" s="61">
        <v>2171227</v>
      </c>
      <c r="J190" s="61">
        <v>13365</v>
      </c>
      <c r="K190" s="61">
        <v>1141962</v>
      </c>
      <c r="L190" s="61">
        <v>0</v>
      </c>
      <c r="M190" s="61">
        <v>2064159</v>
      </c>
      <c r="N190" s="61">
        <v>688211</v>
      </c>
      <c r="O190" s="61">
        <v>0</v>
      </c>
      <c r="P190" s="61">
        <v>0.77866798639297485</v>
      </c>
      <c r="Q190" s="61">
        <v>212190</v>
      </c>
      <c r="R190" s="61">
        <v>2040005</v>
      </c>
      <c r="S190" s="61">
        <v>58136</v>
      </c>
      <c r="T190" s="61">
        <v>80658</v>
      </c>
      <c r="U190" s="61">
        <v>636950</v>
      </c>
      <c r="V190" s="61">
        <v>198033</v>
      </c>
    </row>
    <row r="191" spans="1:22">
      <c r="A191" s="61">
        <v>3802</v>
      </c>
      <c r="B191" t="s">
        <v>370</v>
      </c>
      <c r="C191" s="61">
        <v>3.5446897149085999E-2</v>
      </c>
      <c r="D191" s="61">
        <v>0.14583650231361389</v>
      </c>
      <c r="E191" s="61">
        <v>0.2866230309009552</v>
      </c>
      <c r="F191" s="61">
        <v>0.94162154197692871</v>
      </c>
      <c r="G191" s="61">
        <v>1.0531853884458542E-2</v>
      </c>
      <c r="H191" s="61">
        <v>2371698</v>
      </c>
      <c r="I191" s="61">
        <v>1967429</v>
      </c>
      <c r="J191" s="61">
        <v>13347</v>
      </c>
      <c r="K191" s="61">
        <v>1336745</v>
      </c>
      <c r="L191" s="61">
        <v>0</v>
      </c>
      <c r="M191" s="61">
        <v>1086108</v>
      </c>
      <c r="N191" s="61">
        <v>685619</v>
      </c>
      <c r="O191" s="61">
        <v>0</v>
      </c>
      <c r="P191" s="61">
        <v>0.85902810096740723</v>
      </c>
      <c r="Q191" s="61">
        <v>291774</v>
      </c>
      <c r="R191" s="61">
        <v>1848576</v>
      </c>
      <c r="S191" s="61">
        <v>38279</v>
      </c>
      <c r="T191" s="61">
        <v>77040</v>
      </c>
      <c r="U191" s="61">
        <v>329021</v>
      </c>
      <c r="V191" s="61">
        <v>108810</v>
      </c>
    </row>
    <row r="192" spans="1:22">
      <c r="A192" s="61">
        <v>3803</v>
      </c>
      <c r="B192" t="s">
        <v>371</v>
      </c>
      <c r="C192" s="61">
        <v>3.2249756157398224E-2</v>
      </c>
      <c r="D192" s="61">
        <v>0.1423419862985611</v>
      </c>
      <c r="E192" s="61">
        <v>0.25818997621536255</v>
      </c>
      <c r="F192" s="61">
        <v>0.93443518877029419</v>
      </c>
      <c r="G192" s="61">
        <v>3.4407932311296463E-2</v>
      </c>
      <c r="H192" s="61">
        <v>4861101</v>
      </c>
      <c r="I192" s="61">
        <v>4565467</v>
      </c>
      <c r="J192" s="61">
        <v>73002</v>
      </c>
      <c r="K192" s="61">
        <v>2216091</v>
      </c>
      <c r="L192" s="61">
        <v>0</v>
      </c>
      <c r="M192" s="61">
        <v>3078619</v>
      </c>
      <c r="N192" s="61">
        <v>1690855</v>
      </c>
      <c r="O192" s="61">
        <v>0</v>
      </c>
      <c r="P192" s="61">
        <v>0.92951387166976929</v>
      </c>
      <c r="Q192" s="61">
        <v>333280</v>
      </c>
      <c r="R192" s="61">
        <v>4316508</v>
      </c>
      <c r="S192" s="61">
        <v>129613</v>
      </c>
      <c r="T192" s="61">
        <v>136346</v>
      </c>
      <c r="U192" s="61">
        <v>701094</v>
      </c>
      <c r="V192" s="61">
        <v>130486</v>
      </c>
    </row>
    <row r="193" spans="1:22">
      <c r="A193" s="61">
        <v>3804</v>
      </c>
      <c r="B193" t="s">
        <v>372</v>
      </c>
      <c r="C193" s="61">
        <v>3.6658082157373428E-2</v>
      </c>
      <c r="D193" s="61">
        <v>9.1921992599964142E-2</v>
      </c>
      <c r="E193" s="61">
        <v>0.29703846573829651</v>
      </c>
      <c r="F193" s="61">
        <v>0.9499627947807312</v>
      </c>
      <c r="G193" s="61">
        <v>1.0089481249451637E-2</v>
      </c>
      <c r="H193" s="61">
        <v>1644505</v>
      </c>
      <c r="I193" s="61">
        <v>4941926</v>
      </c>
      <c r="J193" s="61">
        <v>64214</v>
      </c>
      <c r="K193" s="61">
        <v>3808407</v>
      </c>
      <c r="L193" s="61">
        <v>0</v>
      </c>
      <c r="M193" s="61">
        <v>635251</v>
      </c>
      <c r="N193" s="61">
        <v>1781340</v>
      </c>
      <c r="O193" s="61">
        <v>0</v>
      </c>
      <c r="P193" s="61">
        <v>0.86452025175094604</v>
      </c>
      <c r="Q193" s="61">
        <v>1004507</v>
      </c>
      <c r="R193" s="61">
        <v>4756167</v>
      </c>
      <c r="S193" s="61">
        <v>20671</v>
      </c>
      <c r="T193" s="61">
        <v>53204</v>
      </c>
      <c r="U193" s="61">
        <v>572172</v>
      </c>
      <c r="V193" s="61">
        <v>200938</v>
      </c>
    </row>
    <row r="194" spans="1:22">
      <c r="A194" s="61">
        <v>3805</v>
      </c>
      <c r="B194" t="s">
        <v>373</v>
      </c>
      <c r="C194" s="61">
        <v>3.378363698720932E-2</v>
      </c>
      <c r="D194" s="61">
        <v>0.11663154512643814</v>
      </c>
      <c r="E194" s="61">
        <v>0.22963611781597137</v>
      </c>
      <c r="F194" s="61">
        <v>0.9386751651763916</v>
      </c>
      <c r="G194" s="61">
        <v>1.0060448199510574E-2</v>
      </c>
      <c r="H194" s="61">
        <v>4443990</v>
      </c>
      <c r="I194" s="61">
        <v>3745641</v>
      </c>
      <c r="J194" s="61">
        <v>17019</v>
      </c>
      <c r="K194" s="61">
        <v>2213783</v>
      </c>
      <c r="L194" s="61">
        <v>0</v>
      </c>
      <c r="M194" s="61">
        <v>2441091</v>
      </c>
      <c r="N194" s="61">
        <v>1280124</v>
      </c>
      <c r="O194" s="61">
        <v>0</v>
      </c>
      <c r="P194" s="61">
        <v>0.83922255039215088</v>
      </c>
      <c r="Q194" s="61">
        <v>351829</v>
      </c>
      <c r="R194" s="61">
        <v>3529733</v>
      </c>
      <c r="S194" s="61">
        <v>79152</v>
      </c>
      <c r="T194" s="61">
        <v>143273</v>
      </c>
      <c r="U194" s="61">
        <v>664115</v>
      </c>
      <c r="V194" s="61">
        <v>120555</v>
      </c>
    </row>
    <row r="195" spans="1:22">
      <c r="A195" s="61">
        <v>3806</v>
      </c>
      <c r="B195" t="s">
        <v>374</v>
      </c>
      <c r="C195" s="61">
        <v>3.2858818769454956E-2</v>
      </c>
      <c r="D195" s="61">
        <v>0.14236912131309509</v>
      </c>
      <c r="E195" s="61">
        <v>0.34843438863754272</v>
      </c>
      <c r="F195" s="61">
        <v>0.94525986909866333</v>
      </c>
      <c r="G195" s="61">
        <v>2.2679783403873444E-2</v>
      </c>
      <c r="H195" s="61">
        <v>3695591</v>
      </c>
      <c r="I195" s="61">
        <v>3096352</v>
      </c>
      <c r="J195" s="61">
        <v>56172</v>
      </c>
      <c r="K195" s="61">
        <v>1889442</v>
      </c>
      <c r="L195" s="61">
        <v>0</v>
      </c>
      <c r="M195" s="61">
        <v>2244151</v>
      </c>
      <c r="N195" s="61">
        <v>997575</v>
      </c>
      <c r="O195" s="61">
        <v>0</v>
      </c>
      <c r="P195" s="61">
        <v>0.8481718897819519</v>
      </c>
      <c r="Q195" s="61">
        <v>209327</v>
      </c>
      <c r="R195" s="61">
        <v>2971338</v>
      </c>
      <c r="S195" s="61">
        <v>52416</v>
      </c>
      <c r="T195" s="61">
        <v>115802</v>
      </c>
      <c r="U195" s="61">
        <v>370396</v>
      </c>
      <c r="V195" s="61">
        <v>88327</v>
      </c>
    </row>
    <row r="196" spans="1:22">
      <c r="A196" s="61">
        <v>3807</v>
      </c>
      <c r="B196" t="s">
        <v>375</v>
      </c>
      <c r="C196" s="61">
        <v>4.099486768245697E-2</v>
      </c>
      <c r="D196" s="61">
        <v>0.1343824714422226</v>
      </c>
      <c r="E196" s="61">
        <v>0.30590245127677917</v>
      </c>
      <c r="F196" s="61">
        <v>0.92445474863052368</v>
      </c>
      <c r="G196" s="61">
        <v>2.5722181424498558E-2</v>
      </c>
      <c r="H196" s="61">
        <v>4776124</v>
      </c>
      <c r="I196" s="61">
        <v>4652287</v>
      </c>
      <c r="J196" s="61">
        <v>73293</v>
      </c>
      <c r="K196" s="61">
        <v>2540860</v>
      </c>
      <c r="L196" s="61">
        <v>0</v>
      </c>
      <c r="M196" s="61">
        <v>2457950</v>
      </c>
      <c r="N196" s="61">
        <v>1416502</v>
      </c>
      <c r="O196" s="61">
        <v>0</v>
      </c>
      <c r="P196" s="61">
        <v>0.79784154891967773</v>
      </c>
      <c r="Q196" s="61">
        <v>615054</v>
      </c>
      <c r="R196" s="61">
        <v>4377364</v>
      </c>
      <c r="S196" s="61">
        <v>87708</v>
      </c>
      <c r="T196" s="61">
        <v>184085</v>
      </c>
      <c r="U196" s="61">
        <v>614048</v>
      </c>
      <c r="V196" s="61">
        <v>124144</v>
      </c>
    </row>
    <row r="197" spans="1:22">
      <c r="A197" s="61">
        <v>3808</v>
      </c>
      <c r="B197" t="s">
        <v>376</v>
      </c>
      <c r="C197" s="61">
        <v>3.9287205785512924E-2</v>
      </c>
      <c r="D197" s="61">
        <v>0.14251105487346649</v>
      </c>
      <c r="E197" s="61">
        <v>0.24908573925495148</v>
      </c>
      <c r="F197" s="61">
        <v>0.92597275972366333</v>
      </c>
      <c r="G197" s="61">
        <v>1.3031057082116604E-2</v>
      </c>
      <c r="H197" s="61">
        <v>1468015</v>
      </c>
      <c r="I197" s="61">
        <v>1297964</v>
      </c>
      <c r="J197" s="61">
        <v>6331</v>
      </c>
      <c r="K197" s="61">
        <v>606760</v>
      </c>
      <c r="L197" s="61">
        <v>0</v>
      </c>
      <c r="M197" s="61">
        <v>881650</v>
      </c>
      <c r="N197" s="61">
        <v>329251</v>
      </c>
      <c r="O197" s="61">
        <v>11868</v>
      </c>
      <c r="P197" s="61">
        <v>0.78082513809204102</v>
      </c>
      <c r="Q197" s="61">
        <v>107658</v>
      </c>
      <c r="R197" s="61">
        <v>1201783</v>
      </c>
      <c r="S197" s="61">
        <v>28781</v>
      </c>
      <c r="T197" s="61">
        <v>57000</v>
      </c>
      <c r="U197" s="61">
        <v>122172</v>
      </c>
      <c r="V197" s="61">
        <v>45909</v>
      </c>
    </row>
    <row r="198" spans="1:22">
      <c r="A198" s="61">
        <v>3811</v>
      </c>
      <c r="B198" t="s">
        <v>377</v>
      </c>
      <c r="C198" s="61">
        <v>3.5303603857755661E-2</v>
      </c>
      <c r="D198" s="61">
        <v>0.16617001593112946</v>
      </c>
      <c r="E198" s="61">
        <v>0.23036262392997742</v>
      </c>
      <c r="F198" s="61">
        <v>0.92536497116088867</v>
      </c>
      <c r="G198" s="61">
        <v>1.44466832280159E-2</v>
      </c>
      <c r="H198" s="61">
        <v>2775849</v>
      </c>
      <c r="I198" s="61">
        <v>2294010</v>
      </c>
      <c r="J198" s="61">
        <v>13463</v>
      </c>
      <c r="K198" s="61">
        <v>1147623</v>
      </c>
      <c r="L198" s="61">
        <v>0</v>
      </c>
      <c r="M198" s="61">
        <v>1615720</v>
      </c>
      <c r="N198" s="61">
        <v>859253</v>
      </c>
      <c r="O198" s="61">
        <v>0</v>
      </c>
      <c r="P198" s="61">
        <v>0.9947776198387146</v>
      </c>
      <c r="Q198" s="61">
        <v>301018</v>
      </c>
      <c r="R198" s="61">
        <v>2139856</v>
      </c>
      <c r="S198" s="61">
        <v>47889</v>
      </c>
      <c r="T198" s="61">
        <v>89715</v>
      </c>
      <c r="U198" s="61">
        <v>393169</v>
      </c>
      <c r="V198" s="61">
        <v>56073</v>
      </c>
    </row>
    <row r="199" spans="1:22">
      <c r="A199" s="61">
        <v>3812</v>
      </c>
      <c r="B199" t="s">
        <v>378</v>
      </c>
      <c r="C199" s="61">
        <v>4.6651978045701981E-2</v>
      </c>
      <c r="D199" s="61">
        <v>0.13762910664081573</v>
      </c>
      <c r="E199" s="61">
        <v>0.28826111555099487</v>
      </c>
      <c r="F199" s="61">
        <v>0.9209754467010498</v>
      </c>
      <c r="G199" s="61">
        <v>1.9024306908249855E-2</v>
      </c>
      <c r="H199" s="61">
        <v>143090</v>
      </c>
      <c r="I199" s="61">
        <v>204018</v>
      </c>
      <c r="J199" s="61">
        <v>1538</v>
      </c>
      <c r="K199" s="61">
        <v>121264</v>
      </c>
      <c r="L199" s="61">
        <v>0</v>
      </c>
      <c r="M199" s="61">
        <v>48428</v>
      </c>
      <c r="N199" s="61">
        <v>60081</v>
      </c>
      <c r="O199" s="61">
        <v>0</v>
      </c>
      <c r="P199" s="61">
        <v>0.79455727338790894</v>
      </c>
      <c r="Q199" s="61">
        <v>23790</v>
      </c>
      <c r="R199" s="61">
        <v>197765</v>
      </c>
      <c r="S199" s="61">
        <v>2674</v>
      </c>
      <c r="T199" s="61">
        <v>6501</v>
      </c>
      <c r="U199" s="61">
        <v>55782</v>
      </c>
      <c r="V199" s="61">
        <v>11997</v>
      </c>
    </row>
    <row r="200" spans="1:22">
      <c r="A200" s="61">
        <v>3813</v>
      </c>
      <c r="B200" t="s">
        <v>379</v>
      </c>
      <c r="C200" s="61">
        <v>3.7360310554504395E-2</v>
      </c>
      <c r="D200" s="61">
        <v>0.14090929925441742</v>
      </c>
      <c r="E200" s="61">
        <v>0.27529829740524292</v>
      </c>
      <c r="F200" s="61">
        <v>0.93670147657394409</v>
      </c>
      <c r="G200" s="61">
        <v>1.5458656474947929E-2</v>
      </c>
      <c r="H200" s="61">
        <v>1718794</v>
      </c>
      <c r="I200" s="61">
        <v>1253813</v>
      </c>
      <c r="J200" s="61">
        <v>18342</v>
      </c>
      <c r="K200" s="61">
        <v>1070483</v>
      </c>
      <c r="L200" s="61">
        <v>0</v>
      </c>
      <c r="M200" s="61">
        <v>989988</v>
      </c>
      <c r="N200" s="61">
        <v>392471</v>
      </c>
      <c r="O200" s="61">
        <v>0</v>
      </c>
      <c r="P200" s="61">
        <v>0.86376434564590454</v>
      </c>
      <c r="Q200" s="61">
        <v>239173</v>
      </c>
      <c r="R200" s="61">
        <v>1188239</v>
      </c>
      <c r="S200" s="61">
        <v>26937</v>
      </c>
      <c r="T200" s="61">
        <v>42893</v>
      </c>
      <c r="U200" s="61">
        <v>498023</v>
      </c>
      <c r="V200" s="61">
        <v>96284</v>
      </c>
    </row>
    <row r="201" spans="1:22">
      <c r="A201" s="61">
        <v>3814</v>
      </c>
      <c r="B201" t="s">
        <v>380</v>
      </c>
      <c r="C201" s="61">
        <v>4.5561220496892929E-2</v>
      </c>
      <c r="D201" s="61">
        <v>0.15062543749809265</v>
      </c>
      <c r="E201" s="61">
        <v>0.23808322846889496</v>
      </c>
      <c r="F201" s="61">
        <v>0.93384301662445068</v>
      </c>
      <c r="G201" s="61">
        <v>2.088632620871067E-2</v>
      </c>
      <c r="H201" s="61">
        <v>1360880</v>
      </c>
      <c r="I201" s="61">
        <v>1010267</v>
      </c>
      <c r="J201" s="61">
        <v>9471</v>
      </c>
      <c r="K201" s="61">
        <v>462289</v>
      </c>
      <c r="L201" s="61">
        <v>0</v>
      </c>
      <c r="M201" s="61">
        <v>862511</v>
      </c>
      <c r="N201" s="61">
        <v>269045</v>
      </c>
      <c r="O201" s="61">
        <v>207</v>
      </c>
      <c r="P201" s="61">
        <v>0.80210548639297485</v>
      </c>
      <c r="Q201" s="61">
        <v>19622</v>
      </c>
      <c r="R201" s="61">
        <v>951995</v>
      </c>
      <c r="S201" s="61">
        <v>23645</v>
      </c>
      <c r="T201" s="61">
        <v>58688</v>
      </c>
      <c r="U201" s="61">
        <v>121561</v>
      </c>
      <c r="V201" s="61">
        <v>7721</v>
      </c>
    </row>
    <row r="202" spans="1:22">
      <c r="A202" s="61">
        <v>3815</v>
      </c>
      <c r="B202" t="s">
        <v>381</v>
      </c>
      <c r="C202" s="61">
        <v>4.3239492923021317E-2</v>
      </c>
      <c r="D202" s="61">
        <v>0.15683025121688843</v>
      </c>
      <c r="E202" s="61">
        <v>0.22041469812393188</v>
      </c>
      <c r="F202" s="61">
        <v>0.91589844226837158</v>
      </c>
      <c r="G202" s="61">
        <v>2.8735954314470291E-2</v>
      </c>
      <c r="H202" s="61">
        <v>650832</v>
      </c>
      <c r="I202" s="61">
        <v>449696</v>
      </c>
      <c r="J202" s="61">
        <v>6210</v>
      </c>
      <c r="K202" s="61">
        <v>277837</v>
      </c>
      <c r="L202" s="61">
        <v>0</v>
      </c>
      <c r="M202" s="61"/>
      <c r="N202" s="61">
        <v>94071</v>
      </c>
      <c r="O202" s="61">
        <v>0</v>
      </c>
      <c r="P202" s="61">
        <v>0.71702390909194946</v>
      </c>
      <c r="Q202" s="61">
        <v>17983</v>
      </c>
      <c r="R202" s="61">
        <v>426671</v>
      </c>
      <c r="S202" s="61">
        <v>11761</v>
      </c>
      <c r="T202" s="61">
        <v>27983</v>
      </c>
      <c r="U202" s="61">
        <v>61589</v>
      </c>
      <c r="V202" s="61">
        <v>2219</v>
      </c>
    </row>
    <row r="203" spans="1:22">
      <c r="A203" s="61">
        <v>3816</v>
      </c>
      <c r="B203" t="s">
        <v>382</v>
      </c>
      <c r="C203" s="61">
        <v>3.9113622158765793E-2</v>
      </c>
      <c r="D203" s="61">
        <v>8.6539164185523987E-2</v>
      </c>
      <c r="E203" s="61">
        <v>0.21462856233119965</v>
      </c>
      <c r="F203" s="61">
        <v>0.94309371709823608</v>
      </c>
      <c r="G203" s="61">
        <v>4.9238298088312149E-2</v>
      </c>
      <c r="H203" s="61">
        <v>639664</v>
      </c>
      <c r="I203" s="61">
        <v>681184</v>
      </c>
      <c r="J203" s="61">
        <v>8726</v>
      </c>
      <c r="K203" s="61">
        <v>164619</v>
      </c>
      <c r="L203" s="61">
        <v>0</v>
      </c>
      <c r="M203" s="61">
        <v>430726</v>
      </c>
      <c r="N203" s="61">
        <v>158057</v>
      </c>
      <c r="O203" s="61">
        <v>485</v>
      </c>
      <c r="P203" s="61">
        <v>0.75076359510421753</v>
      </c>
      <c r="Q203" s="61">
        <v>3935</v>
      </c>
      <c r="R203" s="61">
        <v>650534</v>
      </c>
      <c r="S203" s="61">
        <v>10818</v>
      </c>
      <c r="T203" s="61">
        <v>24759</v>
      </c>
      <c r="U203" s="61">
        <v>35912</v>
      </c>
      <c r="V203" s="61">
        <v>5971</v>
      </c>
    </row>
    <row r="204" spans="1:22">
      <c r="A204" s="61">
        <v>3817</v>
      </c>
      <c r="B204" t="s">
        <v>383</v>
      </c>
      <c r="C204" s="61">
        <v>3.995693102478981E-2</v>
      </c>
      <c r="D204" s="61">
        <v>0.11729824542999268</v>
      </c>
      <c r="E204" s="61">
        <v>0.26656997203826904</v>
      </c>
      <c r="F204" s="61">
        <v>0.95100301504135132</v>
      </c>
      <c r="G204" s="61">
        <v>4.4478684663772583E-2</v>
      </c>
      <c r="H204" s="61">
        <v>1056033</v>
      </c>
      <c r="I204" s="61">
        <v>1070831</v>
      </c>
      <c r="J204" s="61">
        <v>12265</v>
      </c>
      <c r="K204" s="61">
        <v>239196</v>
      </c>
      <c r="L204" s="61">
        <v>11109</v>
      </c>
      <c r="M204" s="61">
        <v>727169</v>
      </c>
      <c r="N204" s="61">
        <v>250590</v>
      </c>
      <c r="O204" s="61">
        <v>328</v>
      </c>
      <c r="P204" s="61">
        <v>0.74250739812850952</v>
      </c>
      <c r="Q204" s="61">
        <v>3000</v>
      </c>
      <c r="R204" s="61">
        <v>1057564</v>
      </c>
      <c r="S204" s="61">
        <v>15920</v>
      </c>
      <c r="T204" s="61">
        <v>38632</v>
      </c>
      <c r="U204" s="61">
        <v>161811</v>
      </c>
      <c r="V204" s="61">
        <v>31242</v>
      </c>
    </row>
    <row r="205" spans="1:22">
      <c r="A205" s="61">
        <v>3818</v>
      </c>
      <c r="B205" t="s">
        <v>384</v>
      </c>
      <c r="C205" s="61">
        <v>3.339652344584465E-2</v>
      </c>
      <c r="D205" s="61">
        <v>9.6606649458408356E-2</v>
      </c>
      <c r="E205" s="61">
        <v>0.27909231185913086</v>
      </c>
      <c r="F205" s="61">
        <v>0.93922114372253418</v>
      </c>
      <c r="G205" s="61">
        <v>3.3726222813129425E-2</v>
      </c>
      <c r="H205" s="61">
        <v>518336</v>
      </c>
      <c r="I205" s="61">
        <v>698550</v>
      </c>
      <c r="J205" s="61">
        <v>12922</v>
      </c>
      <c r="K205" s="61">
        <v>400903</v>
      </c>
      <c r="L205" s="61">
        <v>0</v>
      </c>
      <c r="M205" s="61">
        <v>142295</v>
      </c>
      <c r="N205" s="61">
        <v>156884</v>
      </c>
      <c r="O205" s="61">
        <v>59427</v>
      </c>
      <c r="P205" s="61">
        <v>0.85308825969696045</v>
      </c>
      <c r="Q205" s="61">
        <v>66726</v>
      </c>
      <c r="R205" s="61">
        <v>659196</v>
      </c>
      <c r="S205" s="61">
        <v>8447</v>
      </c>
      <c r="T205" s="61">
        <v>13900</v>
      </c>
      <c r="U205" s="61">
        <v>104084</v>
      </c>
      <c r="V205" s="61">
        <v>27008</v>
      </c>
    </row>
    <row r="206" spans="1:22">
      <c r="A206" s="61">
        <v>3819</v>
      </c>
      <c r="B206" t="s">
        <v>385</v>
      </c>
      <c r="C206" s="61">
        <v>3.1050078570842743E-2</v>
      </c>
      <c r="D206" s="61">
        <v>0.11368092894554138</v>
      </c>
      <c r="E206" s="61">
        <v>0.32725730538368225</v>
      </c>
      <c r="F206" s="61">
        <v>0.92570370435714722</v>
      </c>
      <c r="G206" s="61">
        <v>8.1565007567405701E-2</v>
      </c>
      <c r="H206" s="61">
        <v>222318</v>
      </c>
      <c r="I206" s="61">
        <v>222967</v>
      </c>
      <c r="J206" s="61">
        <v>1344</v>
      </c>
      <c r="K206" s="61">
        <v>171897</v>
      </c>
      <c r="L206" s="61">
        <v>0</v>
      </c>
      <c r="M206" s="61">
        <v>129469</v>
      </c>
      <c r="N206" s="61">
        <v>42663</v>
      </c>
      <c r="O206" s="61">
        <v>6874</v>
      </c>
      <c r="P206" s="61">
        <v>0.83931809663772583</v>
      </c>
      <c r="Q206" s="61">
        <v>53452</v>
      </c>
      <c r="R206" s="61">
        <v>213095</v>
      </c>
      <c r="S206" s="61">
        <v>2525</v>
      </c>
      <c r="T206" s="61">
        <v>5465</v>
      </c>
      <c r="U206" s="61">
        <v>66338</v>
      </c>
      <c r="V206" s="61">
        <v>63673</v>
      </c>
    </row>
    <row r="207" spans="1:22">
      <c r="A207" s="61">
        <v>3820</v>
      </c>
      <c r="B207" t="s">
        <v>386</v>
      </c>
      <c r="C207" s="61">
        <v>4.3852813541889191E-2</v>
      </c>
      <c r="D207" s="61">
        <v>9.9500879645347595E-2</v>
      </c>
      <c r="E207" s="61">
        <v>0.39522784948348999</v>
      </c>
      <c r="F207" s="61">
        <v>0.94910949468612671</v>
      </c>
      <c r="G207" s="61">
        <v>3.7387128919363022E-2</v>
      </c>
      <c r="H207" s="61">
        <v>266928</v>
      </c>
      <c r="I207" s="61">
        <v>330160</v>
      </c>
      <c r="J207" s="61">
        <v>4602</v>
      </c>
      <c r="K207" s="61">
        <v>128614</v>
      </c>
      <c r="L207" s="61">
        <v>0</v>
      </c>
      <c r="M207" s="61">
        <v>148244</v>
      </c>
      <c r="N207" s="61">
        <v>77073</v>
      </c>
      <c r="O207" s="61">
        <v>6607</v>
      </c>
      <c r="P207" s="61">
        <v>0.82586485147476196</v>
      </c>
      <c r="Q207" s="61">
        <v>14833</v>
      </c>
      <c r="R207" s="61">
        <v>313169</v>
      </c>
      <c r="S207" s="61">
        <v>4047</v>
      </c>
      <c r="T207" s="61">
        <v>12044</v>
      </c>
      <c r="U207" s="61">
        <v>12710</v>
      </c>
      <c r="V207" s="61">
        <v>3199</v>
      </c>
    </row>
    <row r="208" spans="1:22">
      <c r="A208" s="61">
        <v>3821</v>
      </c>
      <c r="B208" t="s">
        <v>387</v>
      </c>
      <c r="C208" s="61">
        <v>4.1151821613311768E-2</v>
      </c>
      <c r="D208" s="61">
        <v>0.10902342200279236</v>
      </c>
      <c r="E208" s="61">
        <v>0.39031219482421875</v>
      </c>
      <c r="F208" s="61">
        <v>0.96264243125915527</v>
      </c>
      <c r="G208" s="61">
        <v>4.0790010243654251E-2</v>
      </c>
      <c r="H208" s="61">
        <v>187100</v>
      </c>
      <c r="I208" s="61">
        <v>277069</v>
      </c>
      <c r="J208" s="61">
        <v>4728</v>
      </c>
      <c r="K208" s="61">
        <v>119141</v>
      </c>
      <c r="L208" s="61">
        <v>0</v>
      </c>
      <c r="M208" s="61">
        <v>99387</v>
      </c>
      <c r="N208" s="61">
        <v>67377</v>
      </c>
      <c r="O208" s="61">
        <v>1583</v>
      </c>
      <c r="P208" s="61">
        <v>0.86768442392349243</v>
      </c>
      <c r="Q208" s="61">
        <v>8927</v>
      </c>
      <c r="R208" s="61">
        <v>277748</v>
      </c>
      <c r="S208" s="61">
        <v>3436</v>
      </c>
      <c r="T208" s="61">
        <v>6904</v>
      </c>
      <c r="U208" s="61">
        <v>34924</v>
      </c>
      <c r="V208" s="61">
        <v>4329</v>
      </c>
    </row>
    <row r="209" spans="1:22">
      <c r="A209" s="61">
        <v>3822</v>
      </c>
      <c r="B209" t="s">
        <v>388</v>
      </c>
      <c r="C209" s="61">
        <v>4.0467128157615662E-2</v>
      </c>
      <c r="D209" s="61">
        <v>0.18991182744503021</v>
      </c>
      <c r="E209" s="61">
        <v>0.38007563352584839</v>
      </c>
      <c r="F209" s="61">
        <v>0.94233244657516479</v>
      </c>
      <c r="G209" s="61">
        <v>1.8339727073907852E-2</v>
      </c>
      <c r="H209" s="61">
        <v>259558</v>
      </c>
      <c r="I209" s="61">
        <v>201005</v>
      </c>
      <c r="J209" s="61">
        <v>1756</v>
      </c>
      <c r="K209" s="61">
        <v>109910</v>
      </c>
      <c r="L209" s="61">
        <v>0</v>
      </c>
      <c r="M209" s="61">
        <v>83971</v>
      </c>
      <c r="N209" s="61">
        <v>35653</v>
      </c>
      <c r="O209" s="61">
        <v>8887</v>
      </c>
      <c r="P209" s="61">
        <v>0.76195865869522095</v>
      </c>
      <c r="Q209" s="61">
        <v>4296</v>
      </c>
      <c r="R209" s="61">
        <v>196097</v>
      </c>
      <c r="S209" s="61">
        <v>3394</v>
      </c>
      <c r="T209" s="61">
        <v>9356</v>
      </c>
      <c r="U209" s="61">
        <v>36715</v>
      </c>
      <c r="V209" s="61">
        <v>6201</v>
      </c>
    </row>
    <row r="210" spans="1:22">
      <c r="A210" s="61">
        <v>3823</v>
      </c>
      <c r="B210" t="s">
        <v>389</v>
      </c>
      <c r="C210" s="61">
        <v>4.9980517476797104E-2</v>
      </c>
      <c r="D210" s="61">
        <v>0.11621531099081039</v>
      </c>
      <c r="E210" s="61">
        <v>0.41966637969017029</v>
      </c>
      <c r="F210" s="61">
        <v>0.94693976640701294</v>
      </c>
      <c r="G210" s="61">
        <v>4.4301595538854599E-2</v>
      </c>
      <c r="H210" s="61">
        <v>79615</v>
      </c>
      <c r="I210" s="61">
        <v>169619</v>
      </c>
      <c r="J210" s="61">
        <v>4436</v>
      </c>
      <c r="K210" s="61">
        <v>115485</v>
      </c>
      <c r="L210" s="61">
        <v>0</v>
      </c>
      <c r="M210" s="61">
        <v>13985</v>
      </c>
      <c r="N210" s="61">
        <v>29858</v>
      </c>
      <c r="O210" s="61">
        <v>12218</v>
      </c>
      <c r="P210" s="61">
        <v>0.71793657541275024</v>
      </c>
      <c r="Q210" s="61">
        <v>8660</v>
      </c>
      <c r="R210" s="61">
        <v>164081</v>
      </c>
      <c r="S210" s="61">
        <v>1248</v>
      </c>
      <c r="T210" s="61">
        <v>4105</v>
      </c>
      <c r="U210" s="61">
        <v>23966</v>
      </c>
      <c r="V210" s="61">
        <v>17719</v>
      </c>
    </row>
    <row r="211" spans="1:22">
      <c r="A211" s="61">
        <v>3824</v>
      </c>
      <c r="B211" t="s">
        <v>390</v>
      </c>
      <c r="C211" s="61">
        <v>4.6033419668674469E-2</v>
      </c>
      <c r="D211" s="61">
        <v>0.11865214258432388</v>
      </c>
      <c r="E211" s="61">
        <v>0.388691246509552</v>
      </c>
      <c r="F211" s="61">
        <v>0.9322439432144165</v>
      </c>
      <c r="G211" s="61">
        <v>3.5755161195993423E-2</v>
      </c>
      <c r="H211" s="61">
        <v>183902</v>
      </c>
      <c r="I211" s="61">
        <v>318753</v>
      </c>
      <c r="J211" s="61">
        <v>4869</v>
      </c>
      <c r="K211" s="61">
        <v>162207</v>
      </c>
      <c r="L211" s="61">
        <v>0</v>
      </c>
      <c r="M211" s="61">
        <v>98487</v>
      </c>
      <c r="N211" s="61">
        <v>61771</v>
      </c>
      <c r="O211" s="61">
        <v>31329</v>
      </c>
      <c r="P211" s="61">
        <v>0.86849737167358398</v>
      </c>
      <c r="Q211" s="61">
        <v>38354</v>
      </c>
      <c r="R211" s="61">
        <v>301356</v>
      </c>
      <c r="S211" s="61">
        <v>3035</v>
      </c>
      <c r="T211" s="61">
        <v>8039</v>
      </c>
      <c r="U211" s="61">
        <v>23009</v>
      </c>
      <c r="V211" s="61">
        <v>7976</v>
      </c>
    </row>
    <row r="212" spans="1:22">
      <c r="A212" s="61">
        <v>3825</v>
      </c>
      <c r="B212" t="s">
        <v>391</v>
      </c>
      <c r="C212" s="61">
        <v>4.0166538208723068E-2</v>
      </c>
      <c r="D212" s="61">
        <v>0.21286407113075256</v>
      </c>
      <c r="E212" s="61">
        <v>0.28044044971466064</v>
      </c>
      <c r="F212" s="61">
        <v>0.91887128353118896</v>
      </c>
      <c r="G212" s="61">
        <v>2.2316981106996536E-2</v>
      </c>
      <c r="H212" s="61">
        <v>615997</v>
      </c>
      <c r="I212" s="61">
        <v>583944</v>
      </c>
      <c r="J212" s="61">
        <v>5367</v>
      </c>
      <c r="K212" s="61">
        <v>284107</v>
      </c>
      <c r="L212" s="61">
        <v>0</v>
      </c>
      <c r="M212" s="61">
        <v>364146</v>
      </c>
      <c r="N212" s="61">
        <v>111073</v>
      </c>
      <c r="O212" s="61">
        <v>67427</v>
      </c>
      <c r="P212" s="61">
        <v>0.9350544810295105</v>
      </c>
      <c r="Q212" s="61">
        <v>41571</v>
      </c>
      <c r="R212" s="61">
        <v>556574</v>
      </c>
      <c r="S212" s="61">
        <v>11310</v>
      </c>
      <c r="T212" s="61">
        <v>23173</v>
      </c>
      <c r="U212" s="61">
        <v>101826</v>
      </c>
      <c r="V212" s="61">
        <v>16051</v>
      </c>
    </row>
    <row r="213" spans="1:22">
      <c r="A213" s="61">
        <v>4201</v>
      </c>
      <c r="B213" t="s">
        <v>392</v>
      </c>
      <c r="C213" s="61">
        <v>3.5855717957019806E-2</v>
      </c>
      <c r="D213" s="61">
        <v>0.11508046835660934</v>
      </c>
      <c r="E213" s="61">
        <v>0.26073324680328369</v>
      </c>
      <c r="F213" s="61">
        <v>0.92446786165237427</v>
      </c>
      <c r="G213" s="61">
        <v>3.9519641548395157E-2</v>
      </c>
      <c r="H213" s="61">
        <v>781858</v>
      </c>
      <c r="I213" s="61">
        <v>641012</v>
      </c>
      <c r="J213" s="61">
        <v>12393</v>
      </c>
      <c r="K213" s="61">
        <v>334832</v>
      </c>
      <c r="L213" s="61">
        <v>0</v>
      </c>
      <c r="M213" s="61">
        <v>450596</v>
      </c>
      <c r="N213" s="61">
        <v>180186</v>
      </c>
      <c r="O213" s="61">
        <v>0</v>
      </c>
      <c r="P213" s="61">
        <v>0.81892025470733643</v>
      </c>
      <c r="Q213" s="61">
        <v>70490</v>
      </c>
      <c r="R213" s="61">
        <v>601116</v>
      </c>
      <c r="S213" s="61">
        <v>17568</v>
      </c>
      <c r="T213" s="61">
        <v>27181</v>
      </c>
      <c r="U213" s="61">
        <v>58697</v>
      </c>
      <c r="V213" s="61">
        <v>10129</v>
      </c>
    </row>
    <row r="214" spans="1:22">
      <c r="A214" s="61">
        <v>4202</v>
      </c>
      <c r="B214" t="s">
        <v>393</v>
      </c>
      <c r="C214" s="61">
        <v>3.3252634108066559E-2</v>
      </c>
      <c r="D214" s="61">
        <v>9.9751628935337067E-2</v>
      </c>
      <c r="E214" s="61">
        <v>0.23540568351745605</v>
      </c>
      <c r="F214" s="61">
        <v>0.9365735650062561</v>
      </c>
      <c r="G214" s="61">
        <v>3.7446111440658569E-2</v>
      </c>
      <c r="H214" s="61">
        <v>2111016</v>
      </c>
      <c r="I214" s="61">
        <v>1937353</v>
      </c>
      <c r="J214" s="61">
        <v>36581</v>
      </c>
      <c r="K214" s="61">
        <v>1242488</v>
      </c>
      <c r="L214" s="61">
        <v>0</v>
      </c>
      <c r="M214" s="61">
        <v>944199</v>
      </c>
      <c r="N214" s="61">
        <v>635058</v>
      </c>
      <c r="O214" s="61">
        <v>237</v>
      </c>
      <c r="P214" s="61">
        <v>0.83471274375915527</v>
      </c>
      <c r="Q214" s="61">
        <v>180285</v>
      </c>
      <c r="R214" s="61">
        <v>1853828</v>
      </c>
      <c r="S214" s="61">
        <v>39192</v>
      </c>
      <c r="T214" s="61">
        <v>59927</v>
      </c>
      <c r="U214" s="61">
        <v>124107</v>
      </c>
      <c r="V214" s="61">
        <v>40256</v>
      </c>
    </row>
    <row r="215" spans="1:22">
      <c r="A215" s="61">
        <v>4203</v>
      </c>
      <c r="B215" t="s">
        <v>394</v>
      </c>
      <c r="C215" s="61">
        <v>3.4108921885490417E-2</v>
      </c>
      <c r="D215" s="61">
        <v>0.10858052223920822</v>
      </c>
      <c r="E215" s="61">
        <v>0.17931379377841949</v>
      </c>
      <c r="F215" s="61">
        <v>0.9419446587562561</v>
      </c>
      <c r="G215" s="61">
        <v>0</v>
      </c>
      <c r="H215" s="61">
        <v>5097818</v>
      </c>
      <c r="I215" s="61">
        <v>3894031</v>
      </c>
      <c r="J215" s="61">
        <v>122851</v>
      </c>
      <c r="K215" s="61">
        <v>-567649</v>
      </c>
      <c r="L215" s="61">
        <v>0</v>
      </c>
      <c r="M215" s="61">
        <v>3070847</v>
      </c>
      <c r="N215" s="61">
        <v>1167063</v>
      </c>
      <c r="O215" s="61">
        <v>416</v>
      </c>
      <c r="P215" s="61">
        <v>0.802592933177948</v>
      </c>
      <c r="Q215" s="61">
        <v>78271</v>
      </c>
      <c r="R215" s="61">
        <v>3769350</v>
      </c>
      <c r="S215" s="61">
        <v>113957</v>
      </c>
      <c r="T215" s="61">
        <v>154558</v>
      </c>
      <c r="U215" s="61">
        <v>562733</v>
      </c>
      <c r="V215" s="61">
        <v>38355</v>
      </c>
    </row>
    <row r="216" spans="1:22">
      <c r="A216" s="61">
        <v>4204</v>
      </c>
      <c r="B216" t="s">
        <v>395</v>
      </c>
      <c r="C216" s="61">
        <v>4.6550009399652481E-2</v>
      </c>
      <c r="D216" s="61">
        <v>0.1420263946056366</v>
      </c>
      <c r="E216" s="61">
        <v>0.30600529909133911</v>
      </c>
      <c r="F216" s="61">
        <v>0.91683083772659302</v>
      </c>
      <c r="G216" s="61">
        <v>3.1473342329263687E-2</v>
      </c>
      <c r="H216" s="61">
        <v>10765413</v>
      </c>
      <c r="I216" s="61">
        <v>9063471</v>
      </c>
      <c r="J216" s="61">
        <v>116480</v>
      </c>
      <c r="K216" s="61">
        <v>5798659</v>
      </c>
      <c r="L216" s="61">
        <v>0</v>
      </c>
      <c r="M216" s="61">
        <v>7752360</v>
      </c>
      <c r="N216" s="61">
        <v>3039876</v>
      </c>
      <c r="O216" s="61">
        <v>210</v>
      </c>
      <c r="P216" s="61">
        <v>0.84268873929977417</v>
      </c>
      <c r="Q216" s="61">
        <v>1604962</v>
      </c>
      <c r="R216" s="61">
        <v>8426151</v>
      </c>
      <c r="S216" s="61">
        <v>187998</v>
      </c>
      <c r="T216" s="61">
        <v>417676</v>
      </c>
      <c r="U216" s="61">
        <v>1624959</v>
      </c>
      <c r="V216" s="61">
        <v>549034</v>
      </c>
    </row>
    <row r="217" spans="1:22">
      <c r="A217" s="61">
        <v>4205</v>
      </c>
      <c r="B217" t="s">
        <v>396</v>
      </c>
      <c r="C217" s="61">
        <v>4.1020363569259644E-2</v>
      </c>
      <c r="D217" s="61">
        <v>0.15588696300983429</v>
      </c>
      <c r="E217" s="61">
        <v>0.29215866327285767</v>
      </c>
      <c r="F217" s="61">
        <v>0.93785327672958374</v>
      </c>
      <c r="G217" s="61">
        <v>3.6289028823375702E-2</v>
      </c>
      <c r="H217" s="61">
        <v>2211460</v>
      </c>
      <c r="I217" s="61">
        <v>2019250</v>
      </c>
      <c r="J217" s="61">
        <v>54417</v>
      </c>
      <c r="K217" s="61">
        <v>1654657</v>
      </c>
      <c r="L217" s="61">
        <v>0</v>
      </c>
      <c r="M217" s="61">
        <v>1194027</v>
      </c>
      <c r="N217" s="61">
        <v>587188</v>
      </c>
      <c r="O217" s="61">
        <v>3975</v>
      </c>
      <c r="P217" s="61">
        <v>0.78847062587738037</v>
      </c>
      <c r="Q217" s="61">
        <v>229046</v>
      </c>
      <c r="R217" s="61">
        <v>1959685</v>
      </c>
      <c r="S217" s="61">
        <v>36983</v>
      </c>
      <c r="T217" s="61">
        <v>82970</v>
      </c>
      <c r="U217" s="61">
        <v>296165</v>
      </c>
      <c r="V217" s="61">
        <v>55258</v>
      </c>
    </row>
    <row r="218" spans="1:22">
      <c r="A218" s="61">
        <v>4206</v>
      </c>
      <c r="B218" t="s">
        <v>397</v>
      </c>
      <c r="C218" s="61">
        <v>3.7823650985956192E-2</v>
      </c>
      <c r="D218" s="61">
        <v>0.14175073802471161</v>
      </c>
      <c r="E218" s="61">
        <v>0.23343488574028015</v>
      </c>
      <c r="F218" s="61">
        <v>0.91577702760696411</v>
      </c>
      <c r="G218" s="61">
        <v>2.9829606413841248E-2</v>
      </c>
      <c r="H218" s="61">
        <v>1001562</v>
      </c>
      <c r="I218" s="61">
        <v>938245</v>
      </c>
      <c r="J218" s="61">
        <v>16543</v>
      </c>
      <c r="K218" s="61">
        <v>701834</v>
      </c>
      <c r="L218" s="61">
        <v>0</v>
      </c>
      <c r="M218" s="61">
        <v>603564</v>
      </c>
      <c r="N218" s="61">
        <v>247225</v>
      </c>
      <c r="O218" s="61">
        <v>0</v>
      </c>
      <c r="P218" s="61">
        <v>0.7894555926322937</v>
      </c>
      <c r="Q218" s="61">
        <v>131547</v>
      </c>
      <c r="R218" s="61">
        <v>872409</v>
      </c>
      <c r="S218" s="61">
        <v>17344</v>
      </c>
      <c r="T218" s="61">
        <v>37185</v>
      </c>
      <c r="U218" s="61">
        <v>71163</v>
      </c>
      <c r="V218" s="61">
        <v>12629</v>
      </c>
    </row>
    <row r="219" spans="1:22">
      <c r="A219" s="61">
        <v>4207</v>
      </c>
      <c r="B219" t="s">
        <v>398</v>
      </c>
      <c r="C219" s="61">
        <v>3.5896822810173035E-2</v>
      </c>
      <c r="D219" s="61">
        <v>0.11289211362600327</v>
      </c>
      <c r="E219" s="61">
        <v>0.29645344614982605</v>
      </c>
      <c r="F219" s="61">
        <v>0.93786704540252686</v>
      </c>
      <c r="G219" s="61">
        <v>3.6946218460798264E-2</v>
      </c>
      <c r="H219" s="61">
        <v>804016</v>
      </c>
      <c r="I219" s="61">
        <v>887739</v>
      </c>
      <c r="J219" s="61">
        <v>18750</v>
      </c>
      <c r="K219" s="61">
        <v>556671</v>
      </c>
      <c r="L219" s="61">
        <v>0</v>
      </c>
      <c r="M219" s="61">
        <v>582663</v>
      </c>
      <c r="N219" s="61">
        <v>244980</v>
      </c>
      <c r="O219" s="61">
        <v>768</v>
      </c>
      <c r="P219" s="61">
        <v>0.83973640203475952</v>
      </c>
      <c r="Q219" s="61">
        <v>100892</v>
      </c>
      <c r="R219" s="61">
        <v>844992</v>
      </c>
      <c r="S219" s="61">
        <v>13075</v>
      </c>
      <c r="T219" s="61">
        <v>27672</v>
      </c>
      <c r="U219" s="61">
        <v>140254</v>
      </c>
      <c r="V219" s="61">
        <v>26545</v>
      </c>
    </row>
    <row r="220" spans="1:22">
      <c r="A220" s="61">
        <v>4211</v>
      </c>
      <c r="B220" t="s">
        <v>399</v>
      </c>
      <c r="C220" s="61">
        <v>4.5390617102384567E-2</v>
      </c>
      <c r="D220" s="61">
        <v>0.16372142732143402</v>
      </c>
      <c r="E220" s="61">
        <v>0.18634749948978424</v>
      </c>
      <c r="F220" s="61">
        <v>0.91028767824172974</v>
      </c>
      <c r="G220" s="61">
        <v>3.6144766956567764E-2</v>
      </c>
      <c r="H220" s="61">
        <v>439464</v>
      </c>
      <c r="I220" s="61">
        <v>295945</v>
      </c>
      <c r="J220" s="61">
        <v>6873</v>
      </c>
      <c r="K220" s="61">
        <v>227472</v>
      </c>
      <c r="L220" s="61">
        <v>0</v>
      </c>
      <c r="M220" s="61">
        <v>308693</v>
      </c>
      <c r="N220" s="61">
        <v>52631</v>
      </c>
      <c r="O220" s="61">
        <v>0</v>
      </c>
      <c r="P220" s="61">
        <v>0.67080587148666382</v>
      </c>
      <c r="Q220" s="61">
        <v>38710</v>
      </c>
      <c r="R220" s="61">
        <v>275115</v>
      </c>
      <c r="S220" s="61">
        <v>9358</v>
      </c>
      <c r="T220" s="61">
        <v>19300</v>
      </c>
      <c r="U220" s="61">
        <v>25582</v>
      </c>
      <c r="V220" s="61">
        <v>6134</v>
      </c>
    </row>
    <row r="221" spans="1:22">
      <c r="A221" s="61">
        <v>4212</v>
      </c>
      <c r="B221" t="s">
        <v>400</v>
      </c>
      <c r="C221" s="61">
        <v>4.6483233571052551E-2</v>
      </c>
      <c r="D221" s="61">
        <v>0.17989680171012878</v>
      </c>
      <c r="E221" s="61">
        <v>0.26365655660629272</v>
      </c>
      <c r="F221" s="61">
        <v>0.92703127861022949</v>
      </c>
      <c r="G221" s="61">
        <v>3.5274405032396317E-2</v>
      </c>
      <c r="H221" s="61">
        <v>276524</v>
      </c>
      <c r="I221" s="61">
        <v>208338</v>
      </c>
      <c r="J221" s="61">
        <v>7096</v>
      </c>
      <c r="K221" s="61">
        <v>197726</v>
      </c>
      <c r="L221" s="61">
        <v>0</v>
      </c>
      <c r="M221" s="61">
        <v>148398</v>
      </c>
      <c r="N221" s="61">
        <v>47456</v>
      </c>
      <c r="O221" s="61">
        <v>0</v>
      </c>
      <c r="P221" s="61">
        <v>0.70032012462615967</v>
      </c>
      <c r="Q221" s="61">
        <v>11713</v>
      </c>
      <c r="R221" s="61">
        <v>200683</v>
      </c>
      <c r="S221" s="61">
        <v>5020</v>
      </c>
      <c r="T221" s="61">
        <v>12221</v>
      </c>
      <c r="U221" s="61">
        <v>34945</v>
      </c>
      <c r="V221" s="61">
        <v>1540</v>
      </c>
    </row>
    <row r="222" spans="1:22">
      <c r="A222" s="61">
        <v>4213</v>
      </c>
      <c r="B222" t="s">
        <v>401</v>
      </c>
      <c r="C222" s="61">
        <v>3.7971090525388718E-2</v>
      </c>
      <c r="D222" s="61">
        <v>0.12892492115497589</v>
      </c>
      <c r="E222" s="61">
        <v>0.25695151090621948</v>
      </c>
      <c r="F222" s="61">
        <v>0.93844759464263916</v>
      </c>
      <c r="G222" s="61">
        <v>3.6747358739376068E-2</v>
      </c>
      <c r="H222" s="61">
        <v>750636</v>
      </c>
      <c r="I222" s="61">
        <v>576439</v>
      </c>
      <c r="J222" s="61">
        <v>9710</v>
      </c>
      <c r="K222" s="61">
        <v>330036</v>
      </c>
      <c r="L222" s="61">
        <v>0</v>
      </c>
      <c r="M222" s="61">
        <v>374587</v>
      </c>
      <c r="N222" s="61">
        <v>157539</v>
      </c>
      <c r="O222" s="61">
        <v>0</v>
      </c>
      <c r="P222" s="61">
        <v>0.80541795492172241</v>
      </c>
      <c r="Q222" s="61">
        <v>17445</v>
      </c>
      <c r="R222" s="61">
        <v>539031</v>
      </c>
      <c r="S222" s="61">
        <v>12028</v>
      </c>
      <c r="T222" s="61">
        <v>25290</v>
      </c>
      <c r="U222" s="61">
        <v>127580</v>
      </c>
      <c r="V222" s="61">
        <v>30171</v>
      </c>
    </row>
    <row r="223" spans="1:22">
      <c r="A223" s="61">
        <v>4214</v>
      </c>
      <c r="B223" t="s">
        <v>402</v>
      </c>
      <c r="C223" s="61">
        <v>3.0398374423384666E-2</v>
      </c>
      <c r="D223" s="61">
        <v>0.17879846692085266</v>
      </c>
      <c r="E223" s="61">
        <v>0.2896321713924408</v>
      </c>
      <c r="F223" s="61">
        <v>0.94191110134124756</v>
      </c>
      <c r="G223" s="61">
        <v>5.1733259111642838E-2</v>
      </c>
      <c r="H223" s="61">
        <v>711983</v>
      </c>
      <c r="I223" s="61">
        <v>523287</v>
      </c>
      <c r="J223" s="61">
        <v>14282</v>
      </c>
      <c r="K223" s="61">
        <v>263185</v>
      </c>
      <c r="L223" s="61">
        <v>8568</v>
      </c>
      <c r="M223" s="61">
        <v>453550</v>
      </c>
      <c r="N223" s="61">
        <v>137823</v>
      </c>
      <c r="O223" s="61">
        <v>0</v>
      </c>
      <c r="P223" s="61">
        <v>0.716697096824646</v>
      </c>
      <c r="Q223" s="61">
        <v>2000</v>
      </c>
      <c r="R223" s="61">
        <v>515093</v>
      </c>
      <c r="S223" s="61">
        <v>12130</v>
      </c>
      <c r="T223" s="61">
        <v>20637</v>
      </c>
      <c r="U223" s="61">
        <v>89515</v>
      </c>
      <c r="V223" s="61">
        <v>17000</v>
      </c>
    </row>
    <row r="224" spans="1:22">
      <c r="A224" s="61">
        <v>4215</v>
      </c>
      <c r="B224" t="s">
        <v>403</v>
      </c>
      <c r="C224" s="61">
        <v>3.4309837967157364E-2</v>
      </c>
      <c r="D224" s="61">
        <v>0.21544000506401062</v>
      </c>
      <c r="E224" s="61">
        <v>0.24077674746513367</v>
      </c>
      <c r="F224" s="61">
        <v>0.90094071626663208</v>
      </c>
      <c r="G224" s="61">
        <v>4.1691973805427551E-2</v>
      </c>
      <c r="H224" s="61">
        <v>1541625</v>
      </c>
      <c r="I224" s="61">
        <v>977537</v>
      </c>
      <c r="J224" s="61">
        <v>27705</v>
      </c>
      <c r="K224" s="61">
        <v>639298</v>
      </c>
      <c r="L224" s="61">
        <v>0</v>
      </c>
      <c r="M224" s="61">
        <v>966377</v>
      </c>
      <c r="N224" s="61">
        <v>306883</v>
      </c>
      <c r="O224" s="61">
        <v>0</v>
      </c>
      <c r="P224" s="61">
        <v>0.85757523775100708</v>
      </c>
      <c r="Q224" s="61">
        <v>53728</v>
      </c>
      <c r="R224" s="61">
        <v>904546</v>
      </c>
      <c r="S224" s="61">
        <v>37182</v>
      </c>
      <c r="T224" s="61">
        <v>46319</v>
      </c>
      <c r="U224" s="61">
        <v>254152</v>
      </c>
      <c r="V224" s="61">
        <v>56992</v>
      </c>
    </row>
    <row r="225" spans="1:22">
      <c r="A225" s="61">
        <v>4216</v>
      </c>
      <c r="B225" t="s">
        <v>404</v>
      </c>
      <c r="C225" s="61">
        <v>3.6895133554935455E-2</v>
      </c>
      <c r="D225" s="61">
        <v>0.1378597617149353</v>
      </c>
      <c r="E225" s="61">
        <v>0.23555634915828705</v>
      </c>
      <c r="F225" s="61">
        <v>0.93422526121139526</v>
      </c>
      <c r="G225" s="61">
        <v>3.1009728088974953E-2</v>
      </c>
      <c r="H225" s="61">
        <v>528609</v>
      </c>
      <c r="I225" s="61">
        <v>465649</v>
      </c>
      <c r="J225" s="61">
        <v>9713</v>
      </c>
      <c r="K225" s="61">
        <v>353187</v>
      </c>
      <c r="L225" s="61">
        <v>0</v>
      </c>
      <c r="M225" s="61">
        <v>386189</v>
      </c>
      <c r="N225" s="61">
        <v>118038</v>
      </c>
      <c r="O225" s="61">
        <v>64</v>
      </c>
      <c r="P225" s="61">
        <v>0.69896644353866577</v>
      </c>
      <c r="Q225" s="61">
        <v>28813</v>
      </c>
      <c r="R225" s="61">
        <v>462604</v>
      </c>
      <c r="S225" s="61">
        <v>12415</v>
      </c>
      <c r="T225" s="61">
        <v>17998</v>
      </c>
      <c r="U225" s="61">
        <v>51448</v>
      </c>
      <c r="V225" s="61">
        <v>20267</v>
      </c>
    </row>
    <row r="226" spans="1:22">
      <c r="A226" s="61">
        <v>4217</v>
      </c>
      <c r="B226" t="s">
        <v>405</v>
      </c>
      <c r="C226" s="61">
        <v>4.3084532022476196E-2</v>
      </c>
      <c r="D226" s="61">
        <v>0.14096349477767944</v>
      </c>
      <c r="E226" s="61">
        <v>0.23776321113109589</v>
      </c>
      <c r="F226" s="61">
        <v>0.90017491579055786</v>
      </c>
      <c r="G226" s="61">
        <v>6.6711850464344025E-2</v>
      </c>
      <c r="H226" s="61">
        <v>193587</v>
      </c>
      <c r="I226" s="61">
        <v>222921</v>
      </c>
      <c r="J226" s="61">
        <v>8812</v>
      </c>
      <c r="K226" s="61">
        <v>153666</v>
      </c>
      <c r="L226" s="61">
        <v>0</v>
      </c>
      <c r="M226" s="61">
        <v>155690</v>
      </c>
      <c r="N226" s="61">
        <v>41502</v>
      </c>
      <c r="O226" s="61">
        <v>4238</v>
      </c>
      <c r="P226" s="61">
        <v>0.69952017068862915</v>
      </c>
      <c r="Q226" s="61">
        <v>51962</v>
      </c>
      <c r="R226" s="61">
        <v>204317</v>
      </c>
      <c r="S226" s="61">
        <v>3279</v>
      </c>
      <c r="T226" s="61">
        <v>8345</v>
      </c>
      <c r="U226" s="61">
        <v>9929</v>
      </c>
      <c r="V226" s="61">
        <v>2349</v>
      </c>
    </row>
    <row r="227" spans="1:22">
      <c r="A227" s="61">
        <v>4218</v>
      </c>
      <c r="B227" t="s">
        <v>406</v>
      </c>
      <c r="C227" s="61">
        <v>3.6399349570274353E-2</v>
      </c>
      <c r="D227" s="61">
        <v>0.16504982113838196</v>
      </c>
      <c r="E227" s="61">
        <v>0.37054494023323059</v>
      </c>
      <c r="F227" s="61">
        <v>0.93024951219558716</v>
      </c>
      <c r="G227" s="61">
        <v>8.9852757751941681E-2</v>
      </c>
      <c r="H227" s="61">
        <v>82729</v>
      </c>
      <c r="I227" s="61">
        <v>158229</v>
      </c>
      <c r="J227" s="61">
        <v>7418</v>
      </c>
      <c r="K227" s="61">
        <v>97026</v>
      </c>
      <c r="L227" s="61">
        <v>0</v>
      </c>
      <c r="M227" s="61">
        <v>41604</v>
      </c>
      <c r="N227" s="61">
        <v>26905</v>
      </c>
      <c r="O227" s="61">
        <v>5170</v>
      </c>
      <c r="P227" s="61">
        <v>0.6255454421043396</v>
      </c>
      <c r="Q227" s="61">
        <v>46445</v>
      </c>
      <c r="R227" s="61">
        <v>150430</v>
      </c>
      <c r="S227" s="61">
        <v>1198</v>
      </c>
      <c r="T227" s="61">
        <v>2613</v>
      </c>
      <c r="U227" s="61">
        <v>21688</v>
      </c>
      <c r="V227" s="61">
        <v>7378</v>
      </c>
    </row>
    <row r="228" spans="1:22">
      <c r="A228" s="61">
        <v>4219</v>
      </c>
      <c r="B228" t="s">
        <v>407</v>
      </c>
      <c r="C228" s="61">
        <v>3.8074735552072525E-2</v>
      </c>
      <c r="D228" s="61">
        <v>0.12930965423583984</v>
      </c>
      <c r="E228" s="61">
        <v>0.28439652919769287</v>
      </c>
      <c r="F228" s="61">
        <v>0.93571573495864868</v>
      </c>
      <c r="G228" s="61">
        <v>8.6785107851028442E-2</v>
      </c>
      <c r="H228" s="61">
        <v>293034</v>
      </c>
      <c r="I228" s="61">
        <v>342858</v>
      </c>
      <c r="J228" s="61">
        <v>10859</v>
      </c>
      <c r="K228" s="61">
        <v>133986</v>
      </c>
      <c r="L228" s="61">
        <v>0</v>
      </c>
      <c r="M228" s="61">
        <v>202061</v>
      </c>
      <c r="N228" s="61">
        <v>86714</v>
      </c>
      <c r="O228" s="61">
        <v>1869</v>
      </c>
      <c r="P228" s="61">
        <v>0.73842805624008179</v>
      </c>
      <c r="Q228" s="61">
        <v>34369</v>
      </c>
      <c r="R228" s="61">
        <v>329100</v>
      </c>
      <c r="S228" s="61">
        <v>5386</v>
      </c>
      <c r="T228" s="61">
        <v>10222</v>
      </c>
      <c r="U228" s="61">
        <v>75592</v>
      </c>
      <c r="V228" s="61">
        <v>19973</v>
      </c>
    </row>
    <row r="229" spans="1:22">
      <c r="A229" s="61">
        <v>4220</v>
      </c>
      <c r="B229" t="s">
        <v>408</v>
      </c>
      <c r="C229" s="61">
        <v>3.8034245371818542E-2</v>
      </c>
      <c r="D229" s="61">
        <v>8.987029641866684E-2</v>
      </c>
      <c r="E229" s="61">
        <v>0.22353361546993256</v>
      </c>
      <c r="F229" s="61">
        <v>0.94193655252456665</v>
      </c>
      <c r="G229" s="61">
        <v>8.4616698324680328E-2</v>
      </c>
      <c r="H229" s="61">
        <v>147342</v>
      </c>
      <c r="I229" s="61">
        <v>157439</v>
      </c>
      <c r="J229" s="61">
        <v>7751</v>
      </c>
      <c r="K229" s="61">
        <v>92809</v>
      </c>
      <c r="L229" s="61">
        <v>0</v>
      </c>
      <c r="M229" s="61">
        <v>93535</v>
      </c>
      <c r="N229" s="61">
        <v>27557</v>
      </c>
      <c r="O229" s="61">
        <v>6863</v>
      </c>
      <c r="P229" s="61">
        <v>0.73388785123825073</v>
      </c>
      <c r="Q229" s="61">
        <v>30164</v>
      </c>
      <c r="R229" s="61">
        <v>156526</v>
      </c>
      <c r="S229" s="61">
        <v>1844</v>
      </c>
      <c r="T229" s="61">
        <v>4947</v>
      </c>
      <c r="U229" s="61">
        <v>26798</v>
      </c>
      <c r="V229" s="61">
        <v>2589</v>
      </c>
    </row>
    <row r="230" spans="1:22">
      <c r="A230" s="61">
        <v>4221</v>
      </c>
      <c r="B230" t="s">
        <v>409</v>
      </c>
      <c r="C230" s="61">
        <v>6.3460096716880798E-2</v>
      </c>
      <c r="D230" s="61">
        <v>0.12535236775875092</v>
      </c>
      <c r="E230" s="61">
        <v>0.21222576498985291</v>
      </c>
      <c r="F230" s="61">
        <v>0.89334529638290405</v>
      </c>
      <c r="G230" s="61">
        <v>7.7144995331764221E-2</v>
      </c>
      <c r="H230" s="61">
        <v>163255</v>
      </c>
      <c r="I230" s="61">
        <v>213644</v>
      </c>
      <c r="J230" s="61">
        <v>7909</v>
      </c>
      <c r="K230" s="61">
        <v>122760</v>
      </c>
      <c r="L230" s="61">
        <v>0</v>
      </c>
      <c r="M230" s="61">
        <v>47896</v>
      </c>
      <c r="N230" s="61">
        <v>34218</v>
      </c>
      <c r="O230" s="61">
        <v>28016</v>
      </c>
      <c r="P230" s="61">
        <v>0.90971541404724121</v>
      </c>
      <c r="Q230" s="61">
        <v>19501</v>
      </c>
      <c r="R230" s="61">
        <v>195346</v>
      </c>
      <c r="S230" s="61">
        <v>2449</v>
      </c>
      <c r="T230" s="61">
        <v>9580</v>
      </c>
      <c r="U230" s="61">
        <v>21053</v>
      </c>
      <c r="V230" s="61">
        <v>6573</v>
      </c>
    </row>
    <row r="231" spans="1:22">
      <c r="A231" s="61">
        <v>4222</v>
      </c>
      <c r="B231" t="s">
        <v>410</v>
      </c>
      <c r="C231" s="61">
        <v>6.3638977706432343E-2</v>
      </c>
      <c r="D231" s="61">
        <v>0.23621487617492676</v>
      </c>
      <c r="E231" s="61">
        <v>0.20023946464061737</v>
      </c>
      <c r="F231" s="61">
        <v>0.84962189197540283</v>
      </c>
      <c r="G231" s="61">
        <v>2.5906000286340714E-2</v>
      </c>
      <c r="H231" s="61">
        <v>162204</v>
      </c>
      <c r="I231" s="61">
        <v>321092</v>
      </c>
      <c r="J231" s="61">
        <v>7669</v>
      </c>
      <c r="K231" s="61">
        <v>377476</v>
      </c>
      <c r="L231" s="61">
        <v>0</v>
      </c>
      <c r="M231" s="61">
        <v>-44575</v>
      </c>
      <c r="N231" s="61">
        <v>38069</v>
      </c>
      <c r="O231" s="61">
        <v>76787</v>
      </c>
      <c r="P231" s="61">
        <v>1.2208099365234375</v>
      </c>
      <c r="Q231" s="61">
        <v>133773</v>
      </c>
      <c r="R231" s="61">
        <v>251397</v>
      </c>
      <c r="S231" s="61">
        <v>2849</v>
      </c>
      <c r="T231" s="61">
        <v>8643</v>
      </c>
      <c r="U231" s="61">
        <v>59911</v>
      </c>
      <c r="V231" s="61">
        <v>56196</v>
      </c>
    </row>
    <row r="232" spans="1:22">
      <c r="A232" s="61">
        <v>4223</v>
      </c>
      <c r="B232" t="s">
        <v>411</v>
      </c>
      <c r="C232" s="61">
        <v>3.5890635102987289E-2</v>
      </c>
      <c r="D232" s="61">
        <v>0.11465157568454742</v>
      </c>
      <c r="E232" s="61">
        <v>0.325417160987854</v>
      </c>
      <c r="F232" s="61">
        <v>0.93267256021499634</v>
      </c>
      <c r="G232" s="61">
        <v>3.2001931220293045E-2</v>
      </c>
      <c r="H232" s="61">
        <v>1084136</v>
      </c>
      <c r="I232" s="61">
        <v>1293553</v>
      </c>
      <c r="J232" s="61">
        <v>17728</v>
      </c>
      <c r="K232" s="61">
        <v>816557</v>
      </c>
      <c r="L232" s="61">
        <v>0</v>
      </c>
      <c r="M232" s="61">
        <v>464494</v>
      </c>
      <c r="N232" s="61">
        <v>326413</v>
      </c>
      <c r="O232" s="61">
        <v>9179</v>
      </c>
      <c r="P232" s="61">
        <v>0.68371206521987915</v>
      </c>
      <c r="Q232" s="61">
        <v>242671</v>
      </c>
      <c r="R232" s="61">
        <v>1237408</v>
      </c>
      <c r="S232" s="61">
        <v>23423</v>
      </c>
      <c r="T232" s="61">
        <v>35165</v>
      </c>
      <c r="U232" s="61">
        <v>124898</v>
      </c>
      <c r="V232" s="61">
        <v>45205</v>
      </c>
    </row>
    <row r="233" spans="1:22">
      <c r="A233" s="61">
        <v>4224</v>
      </c>
      <c r="B233" t="s">
        <v>412</v>
      </c>
      <c r="C233" s="61">
        <v>5.3482059389352798E-2</v>
      </c>
      <c r="D233" s="61">
        <v>0.24909096956253052</v>
      </c>
      <c r="E233" s="61">
        <v>0.42070034146308899</v>
      </c>
      <c r="F233" s="61">
        <v>0.88184314966201782</v>
      </c>
      <c r="G233" s="61">
        <v>2.6229437440633774E-2</v>
      </c>
      <c r="H233" s="61">
        <v>139463</v>
      </c>
      <c r="I233" s="61">
        <v>162423</v>
      </c>
      <c r="J233" s="61">
        <v>8514</v>
      </c>
      <c r="K233" s="61">
        <v>396859</v>
      </c>
      <c r="L233" s="61">
        <v>0</v>
      </c>
      <c r="M233" s="61">
        <v>52111</v>
      </c>
      <c r="N233" s="61">
        <v>25237</v>
      </c>
      <c r="O233" s="61">
        <v>22072</v>
      </c>
      <c r="P233" s="61">
        <v>0.83796471357345581</v>
      </c>
      <c r="Q233" s="61">
        <v>79785</v>
      </c>
      <c r="R233" s="61">
        <v>150967</v>
      </c>
      <c r="S233" s="61">
        <v>2255</v>
      </c>
      <c r="T233" s="61">
        <v>6818</v>
      </c>
      <c r="U233" s="61">
        <v>81492</v>
      </c>
      <c r="V233" s="61">
        <v>60068</v>
      </c>
    </row>
    <row r="234" spans="1:22">
      <c r="A234" s="61">
        <v>4225</v>
      </c>
      <c r="B234" t="s">
        <v>413</v>
      </c>
      <c r="C234" s="61">
        <v>2.7874108403921127E-2</v>
      </c>
      <c r="D234" s="61">
        <v>0.17664676904678345</v>
      </c>
      <c r="E234" s="61">
        <v>0.33055651187896729</v>
      </c>
      <c r="F234" s="61">
        <v>0.94944596290588379</v>
      </c>
      <c r="G234" s="61">
        <v>3.4050092101097107E-2</v>
      </c>
      <c r="H234" s="61">
        <v>1128775</v>
      </c>
      <c r="I234" s="61">
        <v>976372</v>
      </c>
      <c r="J234" s="61">
        <v>21560</v>
      </c>
      <c r="K234" s="61">
        <v>795677</v>
      </c>
      <c r="L234" s="61">
        <v>0</v>
      </c>
      <c r="M234" s="61">
        <v>825142</v>
      </c>
      <c r="N234" s="61">
        <v>243390</v>
      </c>
      <c r="O234" s="61">
        <v>86</v>
      </c>
      <c r="P234" s="61">
        <v>0.72667014598846436</v>
      </c>
      <c r="Q234" s="61">
        <v>59530</v>
      </c>
      <c r="R234" s="61">
        <v>947261</v>
      </c>
      <c r="S234" s="61">
        <v>22204</v>
      </c>
      <c r="T234" s="61">
        <v>33445</v>
      </c>
      <c r="U234" s="61">
        <v>437466</v>
      </c>
      <c r="V234" s="61">
        <v>234296</v>
      </c>
    </row>
    <row r="235" spans="1:22">
      <c r="A235" s="61">
        <v>4226</v>
      </c>
      <c r="B235" t="s">
        <v>414</v>
      </c>
      <c r="C235" s="61">
        <v>3.9575841277837753E-2</v>
      </c>
      <c r="D235" s="61">
        <v>0.13669900596141815</v>
      </c>
      <c r="E235" s="61">
        <v>0.29226833581924438</v>
      </c>
      <c r="F235" s="61">
        <v>0.9378279447555542</v>
      </c>
      <c r="G235" s="61">
        <v>5.2271600812673569E-2</v>
      </c>
      <c r="H235" s="61">
        <v>173548</v>
      </c>
      <c r="I235" s="61">
        <v>177161</v>
      </c>
      <c r="J235" s="61">
        <v>9194</v>
      </c>
      <c r="K235" s="61">
        <v>193540</v>
      </c>
      <c r="L235" s="61">
        <v>0</v>
      </c>
      <c r="M235" s="61">
        <v>113745</v>
      </c>
      <c r="N235" s="61">
        <v>40509</v>
      </c>
      <c r="O235" s="61">
        <v>15</v>
      </c>
      <c r="P235" s="61">
        <v>0.74618434906005859</v>
      </c>
      <c r="Q235" s="61">
        <v>17964</v>
      </c>
      <c r="R235" s="61">
        <v>172963</v>
      </c>
      <c r="S235" s="61">
        <v>2697</v>
      </c>
      <c r="T235" s="61">
        <v>6229</v>
      </c>
      <c r="U235" s="61">
        <v>27974</v>
      </c>
      <c r="V235" s="61">
        <v>4944</v>
      </c>
    </row>
    <row r="236" spans="1:22">
      <c r="A236" s="61">
        <v>4227</v>
      </c>
      <c r="B236" t="s">
        <v>415</v>
      </c>
      <c r="C236" s="61">
        <v>4.6813186258077621E-2</v>
      </c>
      <c r="D236" s="61">
        <v>0.11885502934455872</v>
      </c>
      <c r="E236" s="61">
        <v>0.26136285066604614</v>
      </c>
      <c r="F236" s="61">
        <v>0.93069517612457275</v>
      </c>
      <c r="G236" s="61">
        <v>4.0902197360992432E-2</v>
      </c>
      <c r="H236" s="61">
        <v>469954</v>
      </c>
      <c r="I236" s="61">
        <v>749801</v>
      </c>
      <c r="J236" s="61">
        <v>17401</v>
      </c>
      <c r="K236" s="61">
        <v>533688</v>
      </c>
      <c r="L236" s="61">
        <v>0</v>
      </c>
      <c r="M236" s="61">
        <v>316006</v>
      </c>
      <c r="N236" s="61">
        <v>145591</v>
      </c>
      <c r="O236" s="61">
        <v>32657</v>
      </c>
      <c r="P236" s="61">
        <v>0.75253927707672119</v>
      </c>
      <c r="Q236" s="61">
        <v>115964</v>
      </c>
      <c r="R236" s="61">
        <v>724213</v>
      </c>
      <c r="S236" s="61">
        <v>7438</v>
      </c>
      <c r="T236" s="61">
        <v>21820</v>
      </c>
      <c r="U236" s="61">
        <v>31032</v>
      </c>
      <c r="V236" s="61">
        <v>28591</v>
      </c>
    </row>
    <row r="237" spans="1:22">
      <c r="A237" s="61">
        <v>4228</v>
      </c>
      <c r="B237" t="s">
        <v>416</v>
      </c>
      <c r="C237" s="61">
        <v>4.6534691005945206E-2</v>
      </c>
      <c r="D237" s="61">
        <v>0.14977189898490906</v>
      </c>
      <c r="E237" s="61">
        <v>0.20272155106067657</v>
      </c>
      <c r="F237" s="61">
        <v>0.90459901094436646</v>
      </c>
      <c r="G237" s="61">
        <v>3.9036236703395844E-2</v>
      </c>
      <c r="H237" s="61">
        <v>321788</v>
      </c>
      <c r="I237" s="61">
        <v>400080</v>
      </c>
      <c r="J237" s="61">
        <v>16517</v>
      </c>
      <c r="K237" s="61">
        <v>479515</v>
      </c>
      <c r="L237" s="61">
        <v>0</v>
      </c>
      <c r="M237" s="61">
        <v>121193</v>
      </c>
      <c r="N237" s="61">
        <v>66980</v>
      </c>
      <c r="O237" s="61">
        <v>59500</v>
      </c>
      <c r="P237" s="61">
        <v>1.1376290321350098</v>
      </c>
      <c r="Q237" s="61">
        <v>135100</v>
      </c>
      <c r="R237" s="61">
        <v>339291</v>
      </c>
      <c r="S237" s="61">
        <v>4776</v>
      </c>
      <c r="T237" s="61">
        <v>14076</v>
      </c>
      <c r="U237" s="61">
        <v>56483</v>
      </c>
      <c r="V237" s="61">
        <v>7440</v>
      </c>
    </row>
    <row r="238" spans="1:22">
      <c r="A238" s="61">
        <v>4601</v>
      </c>
      <c r="B238" t="s">
        <v>417</v>
      </c>
      <c r="C238" s="61">
        <v>3.5482808947563171E-2</v>
      </c>
      <c r="D238" s="61">
        <v>0.12040539085865021</v>
      </c>
      <c r="E238" s="61">
        <v>0.33783882856369019</v>
      </c>
      <c r="F238" s="61">
        <v>0.91258877515792847</v>
      </c>
      <c r="G238" s="61">
        <v>3.8453903049230576E-2</v>
      </c>
      <c r="H238" s="61">
        <v>20551518</v>
      </c>
      <c r="I238" s="61">
        <v>23399100</v>
      </c>
      <c r="J238" s="61">
        <v>485940</v>
      </c>
      <c r="K238" s="61">
        <v>13728250</v>
      </c>
      <c r="L238" s="61">
        <v>0</v>
      </c>
      <c r="M238" s="61">
        <v>11746317</v>
      </c>
      <c r="N238" s="61">
        <v>9404091</v>
      </c>
      <c r="O238" s="61">
        <v>0</v>
      </c>
      <c r="P238" s="61">
        <v>1.0249695777893066</v>
      </c>
      <c r="Q238" s="61">
        <v>2820227</v>
      </c>
      <c r="R238" s="61">
        <v>22251140</v>
      </c>
      <c r="S238" s="61">
        <v>355292</v>
      </c>
      <c r="T238" s="61">
        <v>694007</v>
      </c>
      <c r="U238" s="61">
        <v>2733391</v>
      </c>
      <c r="V238" s="61">
        <v>656845</v>
      </c>
    </row>
    <row r="239" spans="1:22">
      <c r="A239" s="61">
        <v>4602</v>
      </c>
      <c r="B239" t="s">
        <v>418</v>
      </c>
      <c r="C239" s="61">
        <v>3.8209643214941025E-2</v>
      </c>
      <c r="D239" s="61">
        <v>0.14739969372749329</v>
      </c>
      <c r="E239" s="61">
        <v>0.25246798992156982</v>
      </c>
      <c r="F239" s="61">
        <v>0.93521767854690552</v>
      </c>
      <c r="G239" s="61">
        <v>2.7621163055300713E-2</v>
      </c>
      <c r="H239" s="61">
        <v>2679139</v>
      </c>
      <c r="I239" s="61">
        <v>1648775</v>
      </c>
      <c r="J239" s="61">
        <v>16726</v>
      </c>
      <c r="K239" s="61">
        <v>553655</v>
      </c>
      <c r="L239" s="61">
        <v>0</v>
      </c>
      <c r="M239" s="61">
        <v>1792511</v>
      </c>
      <c r="N239" s="61">
        <v>549252</v>
      </c>
      <c r="O239" s="61">
        <v>1825</v>
      </c>
      <c r="P239" s="61">
        <v>0.98780310153961182</v>
      </c>
      <c r="Q239" s="61">
        <v>15192</v>
      </c>
      <c r="R239" s="61">
        <v>1557447</v>
      </c>
      <c r="S239" s="61">
        <v>46508</v>
      </c>
      <c r="T239" s="61">
        <v>94245</v>
      </c>
      <c r="U239" s="61">
        <v>327982</v>
      </c>
      <c r="V239" s="61">
        <v>61567</v>
      </c>
    </row>
    <row r="240" spans="1:22">
      <c r="A240" s="61">
        <v>4611</v>
      </c>
      <c r="B240" t="s">
        <v>419</v>
      </c>
      <c r="C240" s="61">
        <v>2.909000962972641E-2</v>
      </c>
      <c r="D240" s="61">
        <v>0.10674541443586349</v>
      </c>
      <c r="E240" s="61">
        <v>0.43962788581848145</v>
      </c>
      <c r="F240" s="61">
        <v>0.95261573791503906</v>
      </c>
      <c r="G240" s="61">
        <v>1.3706153258681297E-2</v>
      </c>
      <c r="H240" s="61">
        <v>317976</v>
      </c>
      <c r="I240" s="61">
        <v>388281</v>
      </c>
      <c r="J240" s="61">
        <v>1957</v>
      </c>
      <c r="K240" s="61">
        <v>190996</v>
      </c>
      <c r="L240" s="61">
        <v>0</v>
      </c>
      <c r="M240" s="61">
        <v>215454</v>
      </c>
      <c r="N240" s="61">
        <v>107483</v>
      </c>
      <c r="O240" s="61">
        <v>4214</v>
      </c>
      <c r="P240" s="61">
        <v>0.81884890794754028</v>
      </c>
      <c r="Q240" s="61">
        <v>46608</v>
      </c>
      <c r="R240" s="61">
        <v>388998</v>
      </c>
      <c r="S240" s="61">
        <v>4765</v>
      </c>
      <c r="T240" s="61">
        <v>9166</v>
      </c>
      <c r="U240" s="61">
        <v>32623</v>
      </c>
      <c r="V240" s="61">
        <v>9844</v>
      </c>
    </row>
    <row r="241" spans="1:22">
      <c r="A241" s="61">
        <v>4612</v>
      </c>
      <c r="B241" t="s">
        <v>420</v>
      </c>
      <c r="C241" s="61">
        <v>4.0372792631387711E-2</v>
      </c>
      <c r="D241" s="61">
        <v>0.15261559188365936</v>
      </c>
      <c r="E241" s="61">
        <v>0.30212277173995972</v>
      </c>
      <c r="F241" s="61">
        <v>0.91470468044281006</v>
      </c>
      <c r="G241" s="61">
        <v>3.677009791135788E-2</v>
      </c>
      <c r="H241" s="61">
        <v>503695</v>
      </c>
      <c r="I241" s="61">
        <v>509070</v>
      </c>
      <c r="J241" s="61">
        <v>13563</v>
      </c>
      <c r="K241" s="61">
        <v>370226</v>
      </c>
      <c r="L241" s="61">
        <v>0</v>
      </c>
      <c r="M241" s="61">
        <v>258729</v>
      </c>
      <c r="N241" s="61">
        <v>146291</v>
      </c>
      <c r="O241" s="61">
        <v>0</v>
      </c>
      <c r="P241" s="61">
        <v>0.78513962030410767</v>
      </c>
      <c r="Q241" s="61">
        <v>91565</v>
      </c>
      <c r="R241" s="61">
        <v>484364</v>
      </c>
      <c r="S241" s="61">
        <v>9288</v>
      </c>
      <c r="T241" s="61">
        <v>19316</v>
      </c>
      <c r="U241" s="61">
        <v>76086</v>
      </c>
      <c r="V241" s="61">
        <v>9734</v>
      </c>
    </row>
    <row r="242" spans="1:22">
      <c r="A242" s="61">
        <v>4613</v>
      </c>
      <c r="B242" t="s">
        <v>421</v>
      </c>
      <c r="C242" s="61">
        <v>3.4864608198404312E-2</v>
      </c>
      <c r="D242" s="61">
        <v>0.12146683037281036</v>
      </c>
      <c r="E242" s="61">
        <v>0.38730740547180176</v>
      </c>
      <c r="F242" s="61">
        <v>0.93727654218673706</v>
      </c>
      <c r="G242" s="61">
        <v>1.4448365196585655E-2</v>
      </c>
      <c r="H242" s="61">
        <v>974658</v>
      </c>
      <c r="I242" s="61">
        <v>1034766</v>
      </c>
      <c r="J242" s="61">
        <v>4057</v>
      </c>
      <c r="K242" s="61">
        <v>352276</v>
      </c>
      <c r="L242" s="61">
        <v>0</v>
      </c>
      <c r="M242" s="61">
        <v>843654</v>
      </c>
      <c r="N242" s="61">
        <v>334069</v>
      </c>
      <c r="O242" s="61">
        <v>0</v>
      </c>
      <c r="P242" s="61">
        <v>0.86460524797439575</v>
      </c>
      <c r="Q242" s="61">
        <v>76522</v>
      </c>
      <c r="R242" s="61">
        <v>969594</v>
      </c>
      <c r="S242" s="61">
        <v>20293</v>
      </c>
      <c r="T242" s="61">
        <v>31475</v>
      </c>
      <c r="U242" s="61">
        <v>111484</v>
      </c>
      <c r="V242" s="61">
        <v>35859</v>
      </c>
    </row>
    <row r="243" spans="1:22">
      <c r="A243" s="61">
        <v>4614</v>
      </c>
      <c r="B243" t="s">
        <v>422</v>
      </c>
      <c r="C243" s="61">
        <v>3.2036300748586655E-2</v>
      </c>
      <c r="D243" s="61">
        <v>0.13821317255496979</v>
      </c>
      <c r="E243" s="61">
        <v>0.28622165322303772</v>
      </c>
      <c r="F243" s="61">
        <v>0.91377681493759155</v>
      </c>
      <c r="G243" s="61">
        <v>2.6740744709968567E-2</v>
      </c>
      <c r="H243" s="61">
        <v>2533751</v>
      </c>
      <c r="I243" s="61">
        <v>1621221</v>
      </c>
      <c r="J243" s="61">
        <v>22479</v>
      </c>
      <c r="K243" s="61">
        <v>828375</v>
      </c>
      <c r="L243" s="61">
        <v>0</v>
      </c>
      <c r="M243" s="61">
        <v>1148064</v>
      </c>
      <c r="N243" s="61">
        <v>543385</v>
      </c>
      <c r="O243" s="61">
        <v>0</v>
      </c>
      <c r="P243" s="61">
        <v>0.89640003442764282</v>
      </c>
      <c r="Q243" s="61">
        <v>87512</v>
      </c>
      <c r="R243" s="61">
        <v>1458678</v>
      </c>
      <c r="S243" s="61">
        <v>48401</v>
      </c>
      <c r="T243" s="61">
        <v>71601</v>
      </c>
      <c r="U243" s="61">
        <v>370446</v>
      </c>
      <c r="V243" s="61">
        <v>150973</v>
      </c>
    </row>
    <row r="244" spans="1:22">
      <c r="A244" s="61">
        <v>4615</v>
      </c>
      <c r="B244" t="s">
        <v>423</v>
      </c>
      <c r="C244" s="61">
        <v>4.5683357864618301E-2</v>
      </c>
      <c r="D244" s="61">
        <v>0.13522954285144806</v>
      </c>
      <c r="E244" s="61">
        <v>0.4769672155380249</v>
      </c>
      <c r="F244" s="61">
        <v>0.92467927932739258</v>
      </c>
      <c r="G244" s="61">
        <v>9.6568632870912552E-3</v>
      </c>
      <c r="H244" s="61">
        <v>260004</v>
      </c>
      <c r="I244" s="61">
        <v>327131</v>
      </c>
      <c r="J244" s="61">
        <v>934</v>
      </c>
      <c r="K244" s="61">
        <v>160965</v>
      </c>
      <c r="L244" s="61">
        <v>0</v>
      </c>
      <c r="M244" s="61">
        <v>164091</v>
      </c>
      <c r="N244" s="61">
        <v>87982</v>
      </c>
      <c r="O244" s="61">
        <v>0</v>
      </c>
      <c r="P244" s="61">
        <v>0.8537745475769043</v>
      </c>
      <c r="Q244" s="61">
        <v>53058</v>
      </c>
      <c r="R244" s="61">
        <v>304475</v>
      </c>
      <c r="S244" s="61">
        <v>4224</v>
      </c>
      <c r="T244" s="61">
        <v>11353</v>
      </c>
      <c r="U244" s="61">
        <v>31348</v>
      </c>
      <c r="V244" s="61">
        <v>7947</v>
      </c>
    </row>
    <row r="245" spans="1:22">
      <c r="A245" s="61">
        <v>4616</v>
      </c>
      <c r="B245" t="s">
        <v>424</v>
      </c>
      <c r="C245" s="61">
        <v>0.13887342810630798</v>
      </c>
      <c r="D245" s="61">
        <v>0.1437222808599472</v>
      </c>
      <c r="E245" s="61">
        <v>0.42432805895805359</v>
      </c>
      <c r="F245" s="61">
        <v>0.89497721195220947</v>
      </c>
      <c r="G245" s="61">
        <v>1.4170551672577858E-2</v>
      </c>
      <c r="H245" s="61">
        <v>221117</v>
      </c>
      <c r="I245" s="61">
        <v>313415</v>
      </c>
      <c r="J245" s="61">
        <v>1593</v>
      </c>
      <c r="K245" s="61">
        <v>140302</v>
      </c>
      <c r="L245" s="61">
        <v>0</v>
      </c>
      <c r="M245" s="61">
        <v>164662</v>
      </c>
      <c r="N245" s="61">
        <v>94663</v>
      </c>
      <c r="O245" s="61">
        <v>0</v>
      </c>
      <c r="P245" s="61">
        <v>1.0210655927658081</v>
      </c>
      <c r="Q245" s="61">
        <v>62076</v>
      </c>
      <c r="R245" s="61">
        <v>280708</v>
      </c>
      <c r="S245" s="61">
        <v>3856</v>
      </c>
      <c r="T245" s="61">
        <v>28944</v>
      </c>
      <c r="U245" s="61">
        <v>63800</v>
      </c>
      <c r="V245" s="61">
        <v>24015</v>
      </c>
    </row>
    <row r="246" spans="1:22">
      <c r="A246" s="61">
        <v>4617</v>
      </c>
      <c r="B246" t="s">
        <v>425</v>
      </c>
      <c r="C246" s="61">
        <v>3.6782417446374893E-2</v>
      </c>
      <c r="D246" s="61">
        <v>0.13492436707019806</v>
      </c>
      <c r="E246" s="61">
        <v>0.3182813823223114</v>
      </c>
      <c r="F246" s="61">
        <v>0.93247652053833008</v>
      </c>
      <c r="G246" s="61">
        <v>1.1225160211324692E-2</v>
      </c>
      <c r="H246" s="61">
        <v>1768080</v>
      </c>
      <c r="I246" s="61">
        <v>1344481</v>
      </c>
      <c r="J246" s="61">
        <v>11504</v>
      </c>
      <c r="K246" s="61">
        <v>1472178</v>
      </c>
      <c r="L246" s="61">
        <v>0</v>
      </c>
      <c r="M246" s="61">
        <v>976329</v>
      </c>
      <c r="N246" s="61">
        <v>345144</v>
      </c>
      <c r="O246" s="61">
        <v>36715</v>
      </c>
      <c r="P246" s="61">
        <v>0.81713801622390747</v>
      </c>
      <c r="Q246" s="61">
        <v>187207</v>
      </c>
      <c r="R246" s="61">
        <v>1294444</v>
      </c>
      <c r="S246" s="61">
        <v>31454</v>
      </c>
      <c r="T246" s="61">
        <v>62182</v>
      </c>
      <c r="U246" s="61">
        <v>211016</v>
      </c>
      <c r="V246" s="61">
        <v>53342</v>
      </c>
    </row>
    <row r="247" spans="1:22">
      <c r="A247" s="61">
        <v>4618</v>
      </c>
      <c r="B247" t="s">
        <v>426</v>
      </c>
      <c r="C247" s="61">
        <v>5.0847571343183517E-2</v>
      </c>
      <c r="D247" s="61">
        <v>0.11169449985027313</v>
      </c>
      <c r="E247" s="61">
        <v>0.22693471610546112</v>
      </c>
      <c r="F247" s="61">
        <v>0.93521654605865479</v>
      </c>
      <c r="G247" s="61">
        <v>2.0338848233222961E-2</v>
      </c>
      <c r="H247" s="61">
        <v>1192310</v>
      </c>
      <c r="I247" s="61">
        <v>1465672</v>
      </c>
      <c r="J247" s="61">
        <v>11271</v>
      </c>
      <c r="K247" s="61">
        <v>529878</v>
      </c>
      <c r="L247" s="61">
        <v>0</v>
      </c>
      <c r="M247" s="61">
        <v>563457</v>
      </c>
      <c r="N247" s="61">
        <v>300345</v>
      </c>
      <c r="O247" s="61">
        <v>81006</v>
      </c>
      <c r="P247" s="61">
        <v>0.84128016233444214</v>
      </c>
      <c r="Q247" s="61">
        <v>38740</v>
      </c>
      <c r="R247" s="61">
        <v>1399719</v>
      </c>
      <c r="S247" s="61">
        <v>20170</v>
      </c>
      <c r="T247" s="61">
        <v>53393</v>
      </c>
      <c r="U247" s="61">
        <v>310991</v>
      </c>
      <c r="V247" s="61">
        <v>68617</v>
      </c>
    </row>
    <row r="248" spans="1:22">
      <c r="A248" s="61">
        <v>4619</v>
      </c>
      <c r="B248" t="s">
        <v>427</v>
      </c>
      <c r="C248" s="61">
        <v>4.9102254211902618E-2</v>
      </c>
      <c r="D248" s="61">
        <v>0.22247855365276337</v>
      </c>
      <c r="E248" s="61">
        <v>0.23642911016941071</v>
      </c>
      <c r="F248" s="61">
        <v>0.91085487604141235</v>
      </c>
      <c r="G248" s="61">
        <v>1.4935901388525963E-2</v>
      </c>
      <c r="H248" s="61">
        <v>152336</v>
      </c>
      <c r="I248" s="61">
        <v>195884</v>
      </c>
      <c r="J248" s="61">
        <v>2284</v>
      </c>
      <c r="K248" s="61">
        <v>141622</v>
      </c>
      <c r="L248" s="61">
        <v>0</v>
      </c>
      <c r="M248" s="61">
        <v>-8035</v>
      </c>
      <c r="N248" s="61">
        <v>27782</v>
      </c>
      <c r="O248" s="61">
        <v>36283</v>
      </c>
      <c r="P248" s="61">
        <v>0.94894099235534668</v>
      </c>
      <c r="Q248" s="61">
        <v>40572</v>
      </c>
      <c r="R248" s="61">
        <v>180972</v>
      </c>
      <c r="S248" s="61">
        <v>2220</v>
      </c>
      <c r="T248" s="61">
        <v>6681</v>
      </c>
      <c r="U248" s="61">
        <v>22862</v>
      </c>
      <c r="V248" s="61">
        <v>3568</v>
      </c>
    </row>
    <row r="249" spans="1:22">
      <c r="A249" s="61">
        <v>4620</v>
      </c>
      <c r="B249" t="s">
        <v>428</v>
      </c>
      <c r="C249" s="61">
        <v>0.25441756844520569</v>
      </c>
      <c r="D249" s="61">
        <v>0.18181042373180389</v>
      </c>
      <c r="E249" s="61">
        <v>0.27966386079788208</v>
      </c>
      <c r="F249" s="61">
        <v>0.9078906774520874</v>
      </c>
      <c r="G249" s="61">
        <v>2.1319197490811348E-2</v>
      </c>
      <c r="H249" s="61">
        <v>144825</v>
      </c>
      <c r="I249" s="61">
        <v>194558</v>
      </c>
      <c r="J249" s="61">
        <v>2291</v>
      </c>
      <c r="K249" s="61">
        <v>95136</v>
      </c>
      <c r="L249" s="61">
        <v>0</v>
      </c>
      <c r="M249" s="61">
        <v>115731</v>
      </c>
      <c r="N249" s="61">
        <v>34950</v>
      </c>
      <c r="O249" s="61">
        <v>5978</v>
      </c>
      <c r="P249" s="61">
        <v>1.0014455318450928</v>
      </c>
      <c r="Q249" s="61">
        <v>13653</v>
      </c>
      <c r="R249" s="61">
        <v>141631</v>
      </c>
      <c r="S249" s="61">
        <v>3578</v>
      </c>
      <c r="T249" s="61">
        <v>42388</v>
      </c>
      <c r="U249" s="61">
        <v>17159</v>
      </c>
      <c r="V249" s="61">
        <v>4241</v>
      </c>
    </row>
    <row r="250" spans="1:22">
      <c r="A250" s="61">
        <v>4621</v>
      </c>
      <c r="B250" t="s">
        <v>429</v>
      </c>
      <c r="C250" s="61">
        <v>3.9371132850646973E-2</v>
      </c>
      <c r="D250" s="61">
        <v>0.11299062520265579</v>
      </c>
      <c r="E250" s="61">
        <v>0.3047841489315033</v>
      </c>
      <c r="F250" s="61">
        <v>0.93723058700561523</v>
      </c>
      <c r="G250" s="61">
        <v>2.6450257748365402E-2</v>
      </c>
      <c r="H250" s="61">
        <v>1372802</v>
      </c>
      <c r="I250" s="61">
        <v>1520323</v>
      </c>
      <c r="J250" s="61">
        <v>25558</v>
      </c>
      <c r="K250" s="61">
        <v>1091124</v>
      </c>
      <c r="L250" s="61">
        <v>0</v>
      </c>
      <c r="M250" s="61">
        <v>626889</v>
      </c>
      <c r="N250" s="61">
        <v>431925</v>
      </c>
      <c r="O250" s="61">
        <v>18852</v>
      </c>
      <c r="P250" s="61">
        <v>0.84919518232345581</v>
      </c>
      <c r="Q250" s="61">
        <v>63025</v>
      </c>
      <c r="R250" s="61">
        <v>1441316</v>
      </c>
      <c r="S250" s="61">
        <v>23317</v>
      </c>
      <c r="T250" s="61">
        <v>53313</v>
      </c>
      <c r="U250" s="61">
        <v>136846</v>
      </c>
      <c r="V250" s="61">
        <v>21698</v>
      </c>
    </row>
    <row r="251" spans="1:22">
      <c r="A251" s="61">
        <v>4622</v>
      </c>
      <c r="B251" t="s">
        <v>430</v>
      </c>
      <c r="C251" s="61">
        <v>3.425665944814682E-2</v>
      </c>
      <c r="D251" s="61">
        <v>0.1657930463552475</v>
      </c>
      <c r="E251" s="61">
        <v>0.21114347875118256</v>
      </c>
      <c r="F251" s="61">
        <v>0.90952461957931519</v>
      </c>
      <c r="G251" s="61">
        <v>4.3770771473646164E-2</v>
      </c>
      <c r="H251" s="61">
        <v>1297756</v>
      </c>
      <c r="I251" s="61">
        <v>881606</v>
      </c>
      <c r="J251" s="61">
        <v>18618</v>
      </c>
      <c r="K251" s="61">
        <v>552329</v>
      </c>
      <c r="L251" s="61">
        <v>0</v>
      </c>
      <c r="M251" s="61">
        <v>790532</v>
      </c>
      <c r="N251" s="61">
        <v>233626</v>
      </c>
      <c r="O251" s="61">
        <v>4470</v>
      </c>
      <c r="P251" s="61">
        <v>0.85488706827163696</v>
      </c>
      <c r="Q251" s="61">
        <v>70647</v>
      </c>
      <c r="R251" s="61">
        <v>824691</v>
      </c>
      <c r="S251" s="61">
        <v>23637</v>
      </c>
      <c r="T251" s="61">
        <v>41300</v>
      </c>
      <c r="U251" s="61">
        <v>87334</v>
      </c>
      <c r="V251" s="61">
        <v>31585</v>
      </c>
    </row>
    <row r="252" spans="1:22">
      <c r="A252" s="61">
        <v>4623</v>
      </c>
      <c r="B252" t="s">
        <v>431</v>
      </c>
      <c r="C252" s="61">
        <v>3.3472374081611633E-2</v>
      </c>
      <c r="D252" s="61">
        <v>0.16717728972434998</v>
      </c>
      <c r="E252" s="61">
        <v>0.29734048247337341</v>
      </c>
      <c r="F252" s="61">
        <v>0.93335205316543579</v>
      </c>
      <c r="G252" s="61">
        <v>1.0233574546873569E-2</v>
      </c>
      <c r="H252" s="61">
        <v>260438</v>
      </c>
      <c r="I252" s="61">
        <v>240743</v>
      </c>
      <c r="J252" s="61">
        <v>1124</v>
      </c>
      <c r="K252" s="61">
        <v>74814</v>
      </c>
      <c r="L252" s="61">
        <v>0</v>
      </c>
      <c r="M252" s="61">
        <v>193842</v>
      </c>
      <c r="N252" s="61">
        <v>63351</v>
      </c>
      <c r="O252" s="61">
        <v>5503</v>
      </c>
      <c r="P252" s="61">
        <v>0.78891640901565552</v>
      </c>
      <c r="Q252" s="61">
        <v>8649</v>
      </c>
      <c r="R252" s="61">
        <v>227014</v>
      </c>
      <c r="S252" s="61">
        <v>4876</v>
      </c>
      <c r="T252" s="61">
        <v>8474</v>
      </c>
      <c r="U252" s="61">
        <v>30363</v>
      </c>
      <c r="V252" s="61">
        <v>7481</v>
      </c>
    </row>
    <row r="253" spans="1:22">
      <c r="A253" s="61">
        <v>4624</v>
      </c>
      <c r="B253" t="s">
        <v>432</v>
      </c>
      <c r="C253" s="61">
        <v>3.7936802953481674E-2</v>
      </c>
      <c r="D253" s="61">
        <v>0.20859529078006744</v>
      </c>
      <c r="E253" s="61">
        <v>0.20972733199596405</v>
      </c>
      <c r="F253" s="61">
        <v>0.89603507518768311</v>
      </c>
      <c r="G253" s="61">
        <v>1.134851761162281E-2</v>
      </c>
      <c r="H253" s="61">
        <v>3135987</v>
      </c>
      <c r="I253" s="61">
        <v>2220710</v>
      </c>
      <c r="J253" s="61">
        <v>14232</v>
      </c>
      <c r="K253" s="61">
        <v>1488794</v>
      </c>
      <c r="L253" s="61">
        <v>0</v>
      </c>
      <c r="M253" s="61">
        <v>1594864</v>
      </c>
      <c r="N253" s="61">
        <v>701061</v>
      </c>
      <c r="O253" s="61">
        <v>1621</v>
      </c>
      <c r="P253" s="61">
        <v>0.87100541591644287</v>
      </c>
      <c r="Q253" s="61">
        <v>501713</v>
      </c>
      <c r="R253" s="61">
        <v>2053575</v>
      </c>
      <c r="S253" s="61">
        <v>51226</v>
      </c>
      <c r="T253" s="61">
        <v>107436</v>
      </c>
      <c r="U253" s="61">
        <v>362483</v>
      </c>
      <c r="V253" s="61">
        <v>62940</v>
      </c>
    </row>
    <row r="254" spans="1:22">
      <c r="A254" s="61">
        <v>4625</v>
      </c>
      <c r="B254" t="s">
        <v>433</v>
      </c>
      <c r="C254" s="61">
        <v>3.0241925269365311E-2</v>
      </c>
      <c r="D254" s="61">
        <v>0.19924025237560272</v>
      </c>
      <c r="E254" s="61">
        <v>0.45407333970069885</v>
      </c>
      <c r="F254" s="61">
        <v>0.90569859743118286</v>
      </c>
      <c r="G254" s="61">
        <v>1.1767528019845486E-2</v>
      </c>
      <c r="H254" s="61">
        <v>588517</v>
      </c>
      <c r="I254" s="61">
        <v>519627</v>
      </c>
      <c r="J254" s="61">
        <v>1972</v>
      </c>
      <c r="K254" s="61">
        <v>238516</v>
      </c>
      <c r="L254" s="61">
        <v>0</v>
      </c>
      <c r="M254" s="61">
        <v>350657</v>
      </c>
      <c r="N254" s="61">
        <v>264097</v>
      </c>
      <c r="O254" s="61">
        <v>0</v>
      </c>
      <c r="P254" s="61">
        <v>1.5608736276626587</v>
      </c>
      <c r="Q254" s="61">
        <v>110608</v>
      </c>
      <c r="R254" s="61">
        <v>459807</v>
      </c>
      <c r="S254" s="61">
        <v>9480</v>
      </c>
      <c r="T254" s="61">
        <v>17397</v>
      </c>
      <c r="U254" s="61">
        <v>41382</v>
      </c>
      <c r="V254" s="61">
        <v>16564</v>
      </c>
    </row>
    <row r="255" spans="1:22">
      <c r="A255" s="61">
        <v>4626</v>
      </c>
      <c r="B255" t="s">
        <v>434</v>
      </c>
      <c r="C255" s="61">
        <v>2.971331961452961E-2</v>
      </c>
      <c r="D255" s="61">
        <v>0.16252505779266357</v>
      </c>
      <c r="E255" s="61">
        <v>0.26461300253868103</v>
      </c>
      <c r="F255" s="61">
        <v>0.94328141212463379</v>
      </c>
      <c r="G255" s="61">
        <v>2.4177558720111847E-2</v>
      </c>
      <c r="H255" s="61">
        <v>3805427</v>
      </c>
      <c r="I255" s="61">
        <v>2980343</v>
      </c>
      <c r="J255" s="61">
        <v>41484</v>
      </c>
      <c r="K255" s="61">
        <v>1930345</v>
      </c>
      <c r="L255" s="61">
        <v>0</v>
      </c>
      <c r="M255" s="61">
        <v>1843898</v>
      </c>
      <c r="N255" s="61">
        <v>1073322</v>
      </c>
      <c r="O255" s="61">
        <v>0</v>
      </c>
      <c r="P255" s="61">
        <v>0.86686962842941284</v>
      </c>
      <c r="Q255" s="61">
        <v>80685</v>
      </c>
      <c r="R255" s="61">
        <v>2857552</v>
      </c>
      <c r="S255" s="61">
        <v>79784</v>
      </c>
      <c r="T255" s="61">
        <v>111230</v>
      </c>
      <c r="U255" s="61">
        <v>360425</v>
      </c>
      <c r="V255" s="61">
        <v>211880</v>
      </c>
    </row>
    <row r="256" spans="1:22">
      <c r="A256" s="61">
        <v>4627</v>
      </c>
      <c r="B256" t="s">
        <v>435</v>
      </c>
      <c r="C256" s="61">
        <v>3.2505180686712265E-2</v>
      </c>
      <c r="D256" s="61">
        <v>0.17826463282108307</v>
      </c>
      <c r="E256" s="61">
        <v>0.2127247154712677</v>
      </c>
      <c r="F256" s="61">
        <v>0.90301591157913208</v>
      </c>
      <c r="G256" s="61">
        <v>3.901258111000061E-2</v>
      </c>
      <c r="H256" s="61">
        <v>3506975</v>
      </c>
      <c r="I256" s="61">
        <v>2344180</v>
      </c>
      <c r="J256" s="61">
        <v>44199</v>
      </c>
      <c r="K256" s="61">
        <v>1155121</v>
      </c>
      <c r="L256" s="61">
        <v>0</v>
      </c>
      <c r="M256" s="61">
        <v>2230032</v>
      </c>
      <c r="N256" s="61">
        <v>758102</v>
      </c>
      <c r="O256" s="61">
        <v>0</v>
      </c>
      <c r="P256" s="61">
        <v>0.79383450746536255</v>
      </c>
      <c r="Q256" s="61">
        <v>147836</v>
      </c>
      <c r="R256" s="61">
        <v>2142413</v>
      </c>
      <c r="S256" s="61">
        <v>105252</v>
      </c>
      <c r="T256" s="61">
        <v>110924</v>
      </c>
      <c r="U256" s="61">
        <v>372103</v>
      </c>
      <c r="V256" s="61">
        <v>94016</v>
      </c>
    </row>
    <row r="257" spans="1:22">
      <c r="A257" s="61">
        <v>4628</v>
      </c>
      <c r="B257" t="s">
        <v>436</v>
      </c>
      <c r="C257" s="61">
        <v>4.1908945888280869E-2</v>
      </c>
      <c r="D257" s="61">
        <v>0.14757587015628815</v>
      </c>
      <c r="E257" s="61">
        <v>0.25358214974403381</v>
      </c>
      <c r="F257" s="61">
        <v>0.9105340838432312</v>
      </c>
      <c r="G257" s="61">
        <v>1.385918166488409E-2</v>
      </c>
      <c r="H257" s="61">
        <v>586554</v>
      </c>
      <c r="I257" s="61">
        <v>453941</v>
      </c>
      <c r="J257" s="61">
        <v>5457</v>
      </c>
      <c r="K257" s="61">
        <v>397848</v>
      </c>
      <c r="L257" s="61">
        <v>0</v>
      </c>
      <c r="M257" s="61">
        <v>305788</v>
      </c>
      <c r="N257" s="61">
        <v>107407</v>
      </c>
      <c r="O257" s="61">
        <v>3766</v>
      </c>
      <c r="P257" s="61">
        <v>0.83575868606567383</v>
      </c>
      <c r="Q257" s="61">
        <v>86260</v>
      </c>
      <c r="R257" s="61">
        <v>413032</v>
      </c>
      <c r="S257" s="61">
        <v>9137</v>
      </c>
      <c r="T257" s="61">
        <v>21680</v>
      </c>
      <c r="U257" s="61">
        <v>119436</v>
      </c>
      <c r="V257" s="61">
        <v>28959</v>
      </c>
    </row>
    <row r="258" spans="1:22">
      <c r="A258" s="61">
        <v>4629</v>
      </c>
      <c r="B258" t="s">
        <v>437</v>
      </c>
      <c r="C258" s="61">
        <v>3.7916935980319977E-2</v>
      </c>
      <c r="D258" s="61">
        <v>0.17759537696838379</v>
      </c>
      <c r="E258" s="61">
        <v>0.2670932412147522</v>
      </c>
      <c r="F258" s="61">
        <v>0.93665421009063721</v>
      </c>
      <c r="G258" s="61">
        <v>6.9573773071169853E-3</v>
      </c>
      <c r="H258" s="61">
        <v>40828</v>
      </c>
      <c r="I258" s="61">
        <v>103394</v>
      </c>
      <c r="J258" s="61">
        <v>367</v>
      </c>
      <c r="K258" s="61">
        <v>64434</v>
      </c>
      <c r="L258" s="61">
        <v>0</v>
      </c>
      <c r="M258" s="61">
        <v>40265</v>
      </c>
      <c r="N258" s="61">
        <v>12152</v>
      </c>
      <c r="O258" s="61">
        <v>21067</v>
      </c>
      <c r="P258" s="61">
        <v>0.96921461820602417</v>
      </c>
      <c r="Q258" s="61">
        <v>10210</v>
      </c>
      <c r="R258" s="61">
        <v>96075</v>
      </c>
      <c r="S258" s="61">
        <v>406</v>
      </c>
      <c r="T258" s="61">
        <v>881</v>
      </c>
      <c r="U258" s="61">
        <v>31410</v>
      </c>
      <c r="V258" s="61">
        <v>2940</v>
      </c>
    </row>
    <row r="259" spans="1:22">
      <c r="A259" s="61">
        <v>4630</v>
      </c>
      <c r="B259" t="s">
        <v>438</v>
      </c>
      <c r="C259" s="61">
        <v>4.1094817221164703E-2</v>
      </c>
      <c r="D259" s="61">
        <v>8.6937293410301208E-2</v>
      </c>
      <c r="E259" s="61">
        <v>0.17025765776634216</v>
      </c>
      <c r="F259" s="61">
        <v>0.95101040601730347</v>
      </c>
      <c r="G259" s="61">
        <v>1.6311222687363625E-2</v>
      </c>
      <c r="H259" s="61">
        <v>641624</v>
      </c>
      <c r="I259" s="61">
        <v>688811</v>
      </c>
      <c r="J259" s="61">
        <v>4694</v>
      </c>
      <c r="K259" s="61">
        <v>257644</v>
      </c>
      <c r="L259" s="61">
        <v>0</v>
      </c>
      <c r="M259" s="61">
        <v>402041</v>
      </c>
      <c r="N259" s="61">
        <v>202166</v>
      </c>
      <c r="O259" s="61">
        <v>548</v>
      </c>
      <c r="P259" s="61">
        <v>0.772563636302948</v>
      </c>
      <c r="Q259" s="61">
        <v>16695</v>
      </c>
      <c r="R259" s="61">
        <v>663044</v>
      </c>
      <c r="S259" s="61">
        <v>12779</v>
      </c>
      <c r="T259" s="61">
        <v>25143</v>
      </c>
      <c r="U259" s="61">
        <v>48139</v>
      </c>
      <c r="V259" s="61">
        <v>5405</v>
      </c>
    </row>
    <row r="260" spans="1:22">
      <c r="A260" s="61">
        <v>4631</v>
      </c>
      <c r="B260" t="s">
        <v>439</v>
      </c>
      <c r="C260" s="61">
        <v>2.7476202696561813E-2</v>
      </c>
      <c r="D260" s="61">
        <v>0.14059759676456451</v>
      </c>
      <c r="E260" s="61">
        <v>0.22896489500999451</v>
      </c>
      <c r="F260" s="61">
        <v>0.93781304359436035</v>
      </c>
      <c r="G260" s="61">
        <v>2.0920371636748314E-2</v>
      </c>
      <c r="H260" s="61">
        <v>3367926</v>
      </c>
      <c r="I260" s="61">
        <v>2619216</v>
      </c>
      <c r="J260" s="61">
        <v>37129</v>
      </c>
      <c r="K260" s="61">
        <v>1927354</v>
      </c>
      <c r="L260" s="61">
        <v>0</v>
      </c>
      <c r="M260" s="61">
        <v>2038305</v>
      </c>
      <c r="N260" s="61">
        <v>779977</v>
      </c>
      <c r="O260" s="61">
        <v>0</v>
      </c>
      <c r="P260" s="61">
        <v>0.82593530416488647</v>
      </c>
      <c r="Q260" s="61">
        <v>277636</v>
      </c>
      <c r="R260" s="61">
        <v>2527777</v>
      </c>
      <c r="S260" s="61">
        <v>44034</v>
      </c>
      <c r="T260" s="61">
        <v>80634</v>
      </c>
      <c r="U260" s="61">
        <v>489743</v>
      </c>
      <c r="V260" s="61">
        <v>145817</v>
      </c>
    </row>
    <row r="261" spans="1:22">
      <c r="A261" s="61">
        <v>4632</v>
      </c>
      <c r="B261" t="s">
        <v>440</v>
      </c>
      <c r="C261" s="61">
        <v>3.6643438041210175E-2</v>
      </c>
      <c r="D261" s="61">
        <v>0.1338047981262207</v>
      </c>
      <c r="E261" s="61">
        <v>0.31734359264373779</v>
      </c>
      <c r="F261" s="61">
        <v>0.93537443876266479</v>
      </c>
      <c r="G261" s="61">
        <v>2.9900567606091499E-2</v>
      </c>
      <c r="H261" s="61">
        <v>266199</v>
      </c>
      <c r="I261" s="61">
        <v>287010</v>
      </c>
      <c r="J261" s="61">
        <v>3160</v>
      </c>
      <c r="K261" s="61">
        <v>141398</v>
      </c>
      <c r="L261" s="61">
        <v>0</v>
      </c>
      <c r="M261" s="61"/>
      <c r="N261" s="61">
        <v>96975</v>
      </c>
      <c r="O261" s="61">
        <v>0</v>
      </c>
      <c r="P261" s="61">
        <v>1.0456390380859375</v>
      </c>
      <c r="Q261" s="61">
        <v>6924</v>
      </c>
      <c r="R261" s="61">
        <v>262757</v>
      </c>
      <c r="S261" s="61">
        <v>4694</v>
      </c>
      <c r="T261" s="61">
        <v>10096</v>
      </c>
      <c r="U261" s="61">
        <v>14412</v>
      </c>
      <c r="V261" s="61">
        <v>3756</v>
      </c>
    </row>
    <row r="262" spans="1:22">
      <c r="A262" s="61">
        <v>4633</v>
      </c>
      <c r="B262" t="s">
        <v>441</v>
      </c>
      <c r="C262" s="61">
        <v>3.8499854505062103E-2</v>
      </c>
      <c r="D262" s="61">
        <v>0.13456198573112488</v>
      </c>
      <c r="E262" s="61">
        <v>0.28367727994918823</v>
      </c>
      <c r="F262" s="61">
        <v>0.9422374963760376</v>
      </c>
      <c r="G262" s="61">
        <v>2.9991131275892258E-2</v>
      </c>
      <c r="H262" s="61">
        <v>32500</v>
      </c>
      <c r="I262" s="61">
        <v>85053</v>
      </c>
      <c r="J262" s="61">
        <v>1121</v>
      </c>
      <c r="K262" s="61">
        <v>46784</v>
      </c>
      <c r="L262" s="61">
        <v>0</v>
      </c>
      <c r="M262" s="61">
        <v>37169</v>
      </c>
      <c r="N262" s="61">
        <v>16191</v>
      </c>
      <c r="O262" s="61">
        <v>0</v>
      </c>
      <c r="P262" s="61">
        <v>0.91431748867034912</v>
      </c>
      <c r="Q262" s="61">
        <v>7734</v>
      </c>
      <c r="R262" s="61">
        <v>76969</v>
      </c>
      <c r="S262" s="61">
        <v>582</v>
      </c>
      <c r="T262" s="61">
        <v>1314</v>
      </c>
      <c r="U262" s="61">
        <v>3301</v>
      </c>
      <c r="V262" s="61">
        <v>1077</v>
      </c>
    </row>
    <row r="263" spans="1:22">
      <c r="A263" s="61">
        <v>4634</v>
      </c>
      <c r="B263" t="s">
        <v>442</v>
      </c>
      <c r="C263" s="61">
        <v>7.4214912950992584E-2</v>
      </c>
      <c r="D263" s="61">
        <v>0.10737165063619614</v>
      </c>
      <c r="E263" s="61">
        <v>0.30423885583877563</v>
      </c>
      <c r="F263" s="61">
        <v>0.94550830125808716</v>
      </c>
      <c r="G263" s="61">
        <v>1.1080421507358551E-2</v>
      </c>
      <c r="H263" s="61">
        <v>147521</v>
      </c>
      <c r="I263" s="61">
        <v>256253</v>
      </c>
      <c r="J263" s="61">
        <v>1305</v>
      </c>
      <c r="K263" s="61">
        <v>142395</v>
      </c>
      <c r="L263" s="61">
        <v>0</v>
      </c>
      <c r="M263" s="61">
        <v>116999</v>
      </c>
      <c r="N263" s="61">
        <v>45913</v>
      </c>
      <c r="O263" s="61">
        <v>14740</v>
      </c>
      <c r="P263" s="61">
        <v>0.8402256965637207</v>
      </c>
      <c r="Q263" s="61">
        <v>59759</v>
      </c>
      <c r="R263" s="61">
        <v>239474</v>
      </c>
      <c r="S263" s="61">
        <v>1727</v>
      </c>
      <c r="T263" s="61">
        <v>6265</v>
      </c>
      <c r="U263" s="61">
        <v>91373</v>
      </c>
      <c r="V263" s="61">
        <v>13962</v>
      </c>
    </row>
    <row r="264" spans="1:22">
      <c r="A264" s="61">
        <v>4635</v>
      </c>
      <c r="B264" t="s">
        <v>443</v>
      </c>
      <c r="C264" s="61">
        <v>5.1001910120248795E-2</v>
      </c>
      <c r="D264" s="61">
        <v>9.2431753873825073E-2</v>
      </c>
      <c r="E264" s="61">
        <v>0.26550623774528503</v>
      </c>
      <c r="F264" s="61">
        <v>0.90547144412994385</v>
      </c>
      <c r="G264" s="61">
        <v>2.2263253107666969E-2</v>
      </c>
      <c r="H264" s="61">
        <v>186749</v>
      </c>
      <c r="I264" s="61">
        <v>330650</v>
      </c>
      <c r="J264" s="61">
        <v>3807</v>
      </c>
      <c r="K264" s="61">
        <v>210237</v>
      </c>
      <c r="L264" s="61">
        <v>0</v>
      </c>
      <c r="M264" s="61">
        <v>136367</v>
      </c>
      <c r="N264" s="61">
        <v>81292</v>
      </c>
      <c r="O264" s="61">
        <v>388</v>
      </c>
      <c r="P264" s="61">
        <v>1.0951931476593018</v>
      </c>
      <c r="Q264" s="61">
        <v>101892</v>
      </c>
      <c r="R264" s="61">
        <v>285408</v>
      </c>
      <c r="S264" s="61">
        <v>2330</v>
      </c>
      <c r="T264" s="61">
        <v>8384</v>
      </c>
      <c r="U264" s="61">
        <v>38736</v>
      </c>
      <c r="V264" s="61">
        <v>10832</v>
      </c>
    </row>
    <row r="265" spans="1:22">
      <c r="A265" s="61">
        <v>4636</v>
      </c>
      <c r="B265" t="s">
        <v>444</v>
      </c>
      <c r="C265" s="61">
        <v>5.2096698433160782E-2</v>
      </c>
      <c r="D265" s="61">
        <v>0.1663917601108551</v>
      </c>
      <c r="E265" s="61">
        <v>0.4176965057849884</v>
      </c>
      <c r="F265" s="61">
        <v>0.86362141370773315</v>
      </c>
      <c r="G265" s="61">
        <v>1.6701484099030495E-2</v>
      </c>
      <c r="H265" s="61">
        <v>150770</v>
      </c>
      <c r="I265" s="61">
        <v>137346</v>
      </c>
      <c r="J265" s="61">
        <v>2449</v>
      </c>
      <c r="K265" s="61">
        <v>123858</v>
      </c>
      <c r="L265" s="61">
        <v>0</v>
      </c>
      <c r="M265" s="61">
        <v>104317</v>
      </c>
      <c r="N265" s="61">
        <v>24421</v>
      </c>
      <c r="O265" s="61">
        <v>0</v>
      </c>
      <c r="P265" s="61">
        <v>0.94230824708938599</v>
      </c>
      <c r="Q265" s="61">
        <v>31589</v>
      </c>
      <c r="R265" s="61">
        <v>112424</v>
      </c>
      <c r="S265" s="61">
        <v>1861</v>
      </c>
      <c r="T265" s="61">
        <v>6659</v>
      </c>
      <c r="U265" s="61">
        <v>29670</v>
      </c>
      <c r="V265" s="61">
        <v>8391</v>
      </c>
    </row>
    <row r="266" spans="1:22">
      <c r="A266" s="61">
        <v>4637</v>
      </c>
      <c r="B266" t="s">
        <v>445</v>
      </c>
      <c r="C266" s="61">
        <v>4.0786594152450562E-2</v>
      </c>
      <c r="D266" s="61">
        <v>0.12494585663080215</v>
      </c>
      <c r="E266" s="61">
        <v>0.35811662673950195</v>
      </c>
      <c r="F266" s="61">
        <v>0.91572296619415283</v>
      </c>
      <c r="G266" s="61">
        <v>2.2647535428404808E-2</v>
      </c>
      <c r="H266" s="61">
        <v>188888</v>
      </c>
      <c r="I266" s="61">
        <v>186168</v>
      </c>
      <c r="J266" s="61">
        <v>3530</v>
      </c>
      <c r="K266" s="61">
        <v>169205</v>
      </c>
      <c r="L266" s="61">
        <v>0</v>
      </c>
      <c r="M266" s="61">
        <v>129688</v>
      </c>
      <c r="N266" s="61">
        <v>42033</v>
      </c>
      <c r="O266" s="61">
        <v>70</v>
      </c>
      <c r="P266" s="61">
        <v>0.97948145866394043</v>
      </c>
      <c r="Q266" s="61">
        <v>27924</v>
      </c>
      <c r="R266" s="61">
        <v>164124</v>
      </c>
      <c r="S266" s="61">
        <v>2857</v>
      </c>
      <c r="T266" s="61">
        <v>7531</v>
      </c>
      <c r="U266" s="61">
        <v>20399</v>
      </c>
      <c r="V266" s="61">
        <v>15508</v>
      </c>
    </row>
    <row r="267" spans="1:22">
      <c r="A267" s="61">
        <v>4638</v>
      </c>
      <c r="B267" t="s">
        <v>446</v>
      </c>
      <c r="C267" s="61">
        <v>4.0789581835269928E-2</v>
      </c>
      <c r="D267" s="61">
        <v>0.10880352556705475</v>
      </c>
      <c r="E267" s="61">
        <v>0.2991165816783905</v>
      </c>
      <c r="F267" s="61">
        <v>0.92880809307098389</v>
      </c>
      <c r="G267" s="61">
        <v>1.5870137140154839E-2</v>
      </c>
      <c r="H267" s="61">
        <v>629233</v>
      </c>
      <c r="I267" s="61">
        <v>518665</v>
      </c>
      <c r="J267" s="61">
        <v>3007</v>
      </c>
      <c r="K267" s="61">
        <v>174965</v>
      </c>
      <c r="L267" s="61">
        <v>0</v>
      </c>
      <c r="M267" s="61">
        <v>475677</v>
      </c>
      <c r="N267" s="61">
        <v>106790</v>
      </c>
      <c r="O267" s="61">
        <v>25139</v>
      </c>
      <c r="P267" s="61">
        <v>0.8058323860168457</v>
      </c>
      <c r="Q267" s="61">
        <v>46769</v>
      </c>
      <c r="R267" s="61">
        <v>476150</v>
      </c>
      <c r="S267" s="61">
        <v>10692</v>
      </c>
      <c r="T267" s="61">
        <v>23065</v>
      </c>
      <c r="U267" s="61">
        <v>110348</v>
      </c>
      <c r="V267" s="61">
        <v>15172</v>
      </c>
    </row>
    <row r="268" spans="1:22">
      <c r="A268" s="61">
        <v>4639</v>
      </c>
      <c r="B268" t="s">
        <v>447</v>
      </c>
      <c r="C268" s="61">
        <v>5.2476260811090469E-2</v>
      </c>
      <c r="D268" s="61">
        <v>0.11591815203428268</v>
      </c>
      <c r="E268" s="61">
        <v>0.24400943517684937</v>
      </c>
      <c r="F268" s="61">
        <v>0.94794631004333496</v>
      </c>
      <c r="G268" s="61">
        <v>3.1241048127412796E-2</v>
      </c>
      <c r="H268" s="61">
        <v>355268</v>
      </c>
      <c r="I268" s="61">
        <v>331327</v>
      </c>
      <c r="J268" s="61">
        <v>6411</v>
      </c>
      <c r="K268" s="61">
        <v>143897</v>
      </c>
      <c r="L268" s="61">
        <v>0</v>
      </c>
      <c r="M268" s="61">
        <v>251298</v>
      </c>
      <c r="N268" s="61">
        <v>70570</v>
      </c>
      <c r="O268" s="61">
        <v>18696</v>
      </c>
      <c r="P268" s="61">
        <v>0.82878792285919189</v>
      </c>
      <c r="Q268" s="61">
        <v>37988</v>
      </c>
      <c r="R268" s="61">
        <v>307104</v>
      </c>
      <c r="S268" s="61">
        <v>6642</v>
      </c>
      <c r="T268" s="61">
        <v>16822</v>
      </c>
      <c r="U268" s="61">
        <v>62918</v>
      </c>
      <c r="V268" s="61">
        <v>12052</v>
      </c>
    </row>
    <row r="269" spans="1:22">
      <c r="A269" s="61">
        <v>4640</v>
      </c>
      <c r="B269" t="s">
        <v>448</v>
      </c>
      <c r="C269" s="61">
        <v>4.3115492910146713E-2</v>
      </c>
      <c r="D269" s="61">
        <v>0.15206135809421539</v>
      </c>
      <c r="E269" s="61">
        <v>0.32921022176742554</v>
      </c>
      <c r="F269" s="61">
        <v>0.92872369289398193</v>
      </c>
      <c r="G269" s="61">
        <v>1.4291281811892986E-2</v>
      </c>
      <c r="H269" s="61">
        <v>1114572</v>
      </c>
      <c r="I269" s="61">
        <v>1247253</v>
      </c>
      <c r="J269" s="61">
        <v>10543</v>
      </c>
      <c r="K269" s="61">
        <v>685649</v>
      </c>
      <c r="L269" s="61">
        <v>0</v>
      </c>
      <c r="M269" s="61">
        <v>560156</v>
      </c>
      <c r="N269" s="61">
        <v>318134</v>
      </c>
      <c r="O269" s="61">
        <v>8184</v>
      </c>
      <c r="P269" s="61">
        <v>0.83100879192352295</v>
      </c>
      <c r="Q269" s="61">
        <v>121068</v>
      </c>
      <c r="R269" s="61">
        <v>1170514</v>
      </c>
      <c r="S269" s="61">
        <v>16523</v>
      </c>
      <c r="T269" s="61">
        <v>44006</v>
      </c>
      <c r="U269" s="61">
        <v>178696</v>
      </c>
      <c r="V269" s="61">
        <v>79349</v>
      </c>
    </row>
    <row r="270" spans="1:22">
      <c r="A270" s="61">
        <v>4641</v>
      </c>
      <c r="B270" t="s">
        <v>449</v>
      </c>
      <c r="C270" s="61">
        <v>4.873613640666008E-2</v>
      </c>
      <c r="D270" s="61">
        <v>0.15824960172176361</v>
      </c>
      <c r="E270" s="61">
        <v>0.28586301207542419</v>
      </c>
      <c r="F270" s="61">
        <v>0.91863244771957397</v>
      </c>
      <c r="G270" s="61">
        <v>4.4651217758655548E-2</v>
      </c>
      <c r="H270" s="61">
        <v>198031</v>
      </c>
      <c r="I270" s="61">
        <v>280607</v>
      </c>
      <c r="J270" s="61">
        <v>1270</v>
      </c>
      <c r="K270" s="61">
        <v>150972</v>
      </c>
      <c r="L270" s="61">
        <v>0</v>
      </c>
      <c r="M270" s="61">
        <v>107503</v>
      </c>
      <c r="N270" s="61">
        <v>51887</v>
      </c>
      <c r="O270" s="61">
        <v>48379</v>
      </c>
      <c r="P270" s="61">
        <v>0.90156811475753784</v>
      </c>
      <c r="Q270" s="61">
        <v>14435</v>
      </c>
      <c r="R270" s="61">
        <v>258493</v>
      </c>
      <c r="S270" s="61">
        <v>3212</v>
      </c>
      <c r="T270" s="61">
        <v>9997</v>
      </c>
      <c r="U270" s="61">
        <v>32029</v>
      </c>
      <c r="V270" s="61">
        <v>9799</v>
      </c>
    </row>
    <row r="271" spans="1:22">
      <c r="A271" s="61">
        <v>4642</v>
      </c>
      <c r="B271" t="s">
        <v>450</v>
      </c>
      <c r="C271" s="61">
        <v>4.1529610753059387E-2</v>
      </c>
      <c r="D271" s="61">
        <v>0.1534426361322403</v>
      </c>
      <c r="E271" s="61">
        <v>0.25542306900024414</v>
      </c>
      <c r="F271" s="61">
        <v>0.92937278747558594</v>
      </c>
      <c r="G271" s="61">
        <v>3.687523677945137E-2</v>
      </c>
      <c r="H271" s="61">
        <v>337255</v>
      </c>
      <c r="I271" s="61">
        <v>281531</v>
      </c>
      <c r="J271" s="61">
        <v>7559</v>
      </c>
      <c r="K271" s="61">
        <v>140949</v>
      </c>
      <c r="L271" s="61">
        <v>0</v>
      </c>
      <c r="M271" s="61">
        <v>256861</v>
      </c>
      <c r="N271" s="61">
        <v>57505</v>
      </c>
      <c r="O271" s="61">
        <v>21734</v>
      </c>
      <c r="P271" s="61">
        <v>0.83704006671905518</v>
      </c>
      <c r="Q271" s="61">
        <v>21534</v>
      </c>
      <c r="R271" s="61">
        <v>256523</v>
      </c>
      <c r="S271" s="61">
        <v>5241</v>
      </c>
      <c r="T271" s="61">
        <v>12941</v>
      </c>
      <c r="U271" s="61">
        <v>47925</v>
      </c>
      <c r="V271" s="61">
        <v>5864</v>
      </c>
    </row>
    <row r="272" spans="1:22">
      <c r="A272" s="61">
        <v>4643</v>
      </c>
      <c r="B272" t="s">
        <v>451</v>
      </c>
      <c r="C272" s="61">
        <v>5.0347879528999329E-2</v>
      </c>
      <c r="D272" s="61">
        <v>9.0769089758396149E-2</v>
      </c>
      <c r="E272" s="61">
        <v>0.22605197131633759</v>
      </c>
      <c r="F272" s="61">
        <v>0.93607997894287109</v>
      </c>
      <c r="G272" s="61">
        <v>3.782537579536438E-2</v>
      </c>
      <c r="H272" s="61">
        <v>483725</v>
      </c>
      <c r="I272" s="61">
        <v>578674</v>
      </c>
      <c r="J272" s="61">
        <v>2375</v>
      </c>
      <c r="K272" s="61">
        <v>297783</v>
      </c>
      <c r="L272" s="61">
        <v>0</v>
      </c>
      <c r="M272" s="61">
        <v>278093</v>
      </c>
      <c r="N272" s="61">
        <v>155410</v>
      </c>
      <c r="O272" s="61">
        <v>28308</v>
      </c>
      <c r="P272" s="61">
        <v>0.92611420154571533</v>
      </c>
      <c r="Q272" s="61">
        <v>11440</v>
      </c>
      <c r="R272" s="61">
        <v>560238</v>
      </c>
      <c r="S272" s="61">
        <v>7767</v>
      </c>
      <c r="T272" s="61">
        <v>22715</v>
      </c>
      <c r="U272" s="61">
        <v>80234</v>
      </c>
      <c r="V272" s="61">
        <v>11006</v>
      </c>
    </row>
    <row r="273" spans="1:22">
      <c r="A273" s="61">
        <v>4644</v>
      </c>
      <c r="B273" t="s">
        <v>452</v>
      </c>
      <c r="C273" s="61">
        <v>4.6057384461164474E-2</v>
      </c>
      <c r="D273" s="61">
        <v>0.14536392688751221</v>
      </c>
      <c r="E273" s="61">
        <v>0.23144049942493439</v>
      </c>
      <c r="F273" s="61">
        <v>0.92265385389328003</v>
      </c>
      <c r="G273" s="61">
        <v>1.7423393204808235E-2</v>
      </c>
      <c r="H273" s="61">
        <v>544373</v>
      </c>
      <c r="I273" s="61">
        <v>577977</v>
      </c>
      <c r="J273" s="61">
        <v>9327</v>
      </c>
      <c r="K273" s="61">
        <v>438484</v>
      </c>
      <c r="L273" s="61">
        <v>0</v>
      </c>
      <c r="M273" s="61">
        <v>305336</v>
      </c>
      <c r="N273" s="61">
        <v>160783</v>
      </c>
      <c r="O273" s="61">
        <v>17144</v>
      </c>
      <c r="P273" s="61">
        <v>0.9616512656211853</v>
      </c>
      <c r="Q273" s="61">
        <v>87864</v>
      </c>
      <c r="R273" s="61">
        <v>540005</v>
      </c>
      <c r="S273" s="61">
        <v>7886</v>
      </c>
      <c r="T273" s="61">
        <v>24219</v>
      </c>
      <c r="U273" s="61">
        <v>93484</v>
      </c>
      <c r="V273" s="61">
        <v>17673</v>
      </c>
    </row>
    <row r="274" spans="1:22">
      <c r="A274" s="61">
        <v>4645</v>
      </c>
      <c r="B274" t="s">
        <v>453</v>
      </c>
      <c r="C274" s="61">
        <v>4.2034599930047989E-2</v>
      </c>
      <c r="D274" s="61">
        <v>9.0907663106918335E-2</v>
      </c>
      <c r="E274" s="61">
        <v>0.22028590738773346</v>
      </c>
      <c r="F274" s="61">
        <v>0.92526394128799438</v>
      </c>
      <c r="G274" s="61">
        <v>1.8531890586018562E-2</v>
      </c>
      <c r="H274" s="61">
        <v>308938</v>
      </c>
      <c r="I274" s="61">
        <v>336625</v>
      </c>
      <c r="J274" s="61">
        <v>3308</v>
      </c>
      <c r="K274" s="61">
        <v>161578</v>
      </c>
      <c r="L274" s="61">
        <v>0</v>
      </c>
      <c r="M274" s="61">
        <v>202461</v>
      </c>
      <c r="N274" s="61">
        <v>80393</v>
      </c>
      <c r="O274" s="61">
        <v>228</v>
      </c>
      <c r="P274" s="61">
        <v>0.82624983787536621</v>
      </c>
      <c r="Q274" s="61">
        <v>43260</v>
      </c>
      <c r="R274" s="61">
        <v>314309</v>
      </c>
      <c r="S274" s="61">
        <v>4339</v>
      </c>
      <c r="T274" s="61">
        <v>11672</v>
      </c>
      <c r="U274" s="61">
        <v>38673</v>
      </c>
      <c r="V274" s="61">
        <v>7195</v>
      </c>
    </row>
    <row r="275" spans="1:22">
      <c r="A275" s="61">
        <v>4646</v>
      </c>
      <c r="B275" t="s">
        <v>454</v>
      </c>
      <c r="C275" s="61">
        <v>3.3974882215261459E-2</v>
      </c>
      <c r="D275" s="61">
        <v>0.14061002433300018</v>
      </c>
      <c r="E275" s="61">
        <v>0.26005440950393677</v>
      </c>
      <c r="F275" s="61">
        <v>0.9322778582572937</v>
      </c>
      <c r="G275" s="61">
        <v>1.8473122268915176E-2</v>
      </c>
      <c r="H275" s="61">
        <v>384075</v>
      </c>
      <c r="I275" s="61">
        <v>315858</v>
      </c>
      <c r="J275" s="61">
        <v>5336</v>
      </c>
      <c r="K275" s="61">
        <v>276611</v>
      </c>
      <c r="L275" s="61">
        <v>0</v>
      </c>
      <c r="M275" s="61"/>
      <c r="N275" s="61">
        <v>66853</v>
      </c>
      <c r="O275" s="61">
        <v>12</v>
      </c>
      <c r="P275" s="61">
        <v>0.73834049701690674</v>
      </c>
      <c r="Q275" s="61">
        <v>12253</v>
      </c>
      <c r="R275" s="61">
        <v>309366</v>
      </c>
      <c r="S275" s="61">
        <v>5746</v>
      </c>
      <c r="T275" s="61">
        <v>10964</v>
      </c>
      <c r="U275" s="61">
        <v>146561</v>
      </c>
      <c r="V275" s="61">
        <v>25683</v>
      </c>
    </row>
    <row r="276" spans="1:22">
      <c r="A276" s="61">
        <v>4647</v>
      </c>
      <c r="B276" t="s">
        <v>455</v>
      </c>
      <c r="C276" s="61">
        <v>3.5492561757564545E-2</v>
      </c>
      <c r="D276" s="61">
        <v>0.15445025265216827</v>
      </c>
      <c r="E276" s="61">
        <v>0.32472169399261475</v>
      </c>
      <c r="F276" s="61">
        <v>0.91947036981582642</v>
      </c>
      <c r="G276" s="61">
        <v>2.2928062826395035E-2</v>
      </c>
      <c r="H276" s="61">
        <v>2701761</v>
      </c>
      <c r="I276" s="61">
        <v>2117344</v>
      </c>
      <c r="J276" s="61">
        <v>27148</v>
      </c>
      <c r="K276" s="61">
        <v>1727423</v>
      </c>
      <c r="L276" s="61">
        <v>0</v>
      </c>
      <c r="M276" s="61">
        <v>1800110</v>
      </c>
      <c r="N276" s="61">
        <v>630394</v>
      </c>
      <c r="O276" s="61">
        <v>6161</v>
      </c>
      <c r="P276" s="61">
        <v>0.88552635908126831</v>
      </c>
      <c r="Q276" s="61">
        <v>96433</v>
      </c>
      <c r="R276" s="61">
        <v>2005166</v>
      </c>
      <c r="S276" s="61">
        <v>42754</v>
      </c>
      <c r="T276" s="61">
        <v>94661</v>
      </c>
      <c r="U276" s="61">
        <v>257548</v>
      </c>
      <c r="V276" s="61">
        <v>126244</v>
      </c>
    </row>
    <row r="277" spans="1:22">
      <c r="A277" s="61">
        <v>4648</v>
      </c>
      <c r="B277" t="s">
        <v>456</v>
      </c>
      <c r="C277" s="61">
        <v>3.6668412387371063E-2</v>
      </c>
      <c r="D277" s="61">
        <v>0.13912865519523621</v>
      </c>
      <c r="E277" s="61">
        <v>0.60371494293212891</v>
      </c>
      <c r="F277" s="61">
        <v>0.90493011474609375</v>
      </c>
      <c r="G277" s="61">
        <v>7.1961373090744019E-2</v>
      </c>
      <c r="H277" s="61">
        <v>366562</v>
      </c>
      <c r="I277" s="61">
        <v>475441</v>
      </c>
      <c r="J277" s="61">
        <v>8873</v>
      </c>
      <c r="K277" s="61">
        <v>259279</v>
      </c>
      <c r="L277" s="61">
        <v>9276</v>
      </c>
      <c r="M277" s="61">
        <v>269110</v>
      </c>
      <c r="N277" s="61">
        <v>94846</v>
      </c>
      <c r="O277" s="61">
        <v>26516</v>
      </c>
      <c r="P277" s="61">
        <v>0.80879032611846924</v>
      </c>
      <c r="Q277" s="61">
        <v>0</v>
      </c>
      <c r="R277" s="61">
        <v>439838</v>
      </c>
      <c r="S277" s="61">
        <v>20353</v>
      </c>
      <c r="T277" s="61">
        <v>13429</v>
      </c>
      <c r="U277" s="61">
        <v>21435</v>
      </c>
      <c r="V277" s="61">
        <v>7326</v>
      </c>
    </row>
    <row r="278" spans="1:22">
      <c r="A278" s="61">
        <v>4649</v>
      </c>
      <c r="B278" t="s">
        <v>457</v>
      </c>
      <c r="C278" s="61">
        <v>3.9186306297779083E-2</v>
      </c>
      <c r="D278" s="61">
        <v>0.15910997986793518</v>
      </c>
      <c r="E278" s="61">
        <v>0.2586914598941803</v>
      </c>
      <c r="F278" s="61">
        <v>0.91854214668273926</v>
      </c>
      <c r="G278" s="61">
        <v>1.4920661225914955E-2</v>
      </c>
      <c r="H278" s="61">
        <v>1052982</v>
      </c>
      <c r="I278" s="61">
        <v>932701</v>
      </c>
      <c r="J278" s="61">
        <v>6254</v>
      </c>
      <c r="K278" s="61">
        <v>388000</v>
      </c>
      <c r="L278" s="61">
        <v>0</v>
      </c>
      <c r="M278" s="61">
        <v>972837</v>
      </c>
      <c r="N278" s="61">
        <v>239074</v>
      </c>
      <c r="O278" s="61">
        <v>121</v>
      </c>
      <c r="P278" s="61">
        <v>0.78231716156005859</v>
      </c>
      <c r="Q278" s="61">
        <v>119738</v>
      </c>
      <c r="R278" s="61">
        <v>847362</v>
      </c>
      <c r="S278" s="61">
        <v>17718</v>
      </c>
      <c r="T278" s="61">
        <v>39178</v>
      </c>
      <c r="U278" s="61">
        <v>171367</v>
      </c>
      <c r="V278" s="61">
        <v>35095</v>
      </c>
    </row>
    <row r="279" spans="1:22">
      <c r="A279" s="61">
        <v>4650</v>
      </c>
      <c r="B279" t="s">
        <v>458</v>
      </c>
      <c r="C279" s="61">
        <v>3.8373086601495743E-2</v>
      </c>
      <c r="D279" s="61">
        <v>0.1329789012670517</v>
      </c>
      <c r="E279" s="61">
        <v>0.20896315574645996</v>
      </c>
      <c r="F279" s="61">
        <v>0.94583004713058472</v>
      </c>
      <c r="G279" s="61">
        <v>2.3146405816078186E-2</v>
      </c>
      <c r="H279" s="61">
        <v>753152</v>
      </c>
      <c r="I279" s="61">
        <v>599809</v>
      </c>
      <c r="J279" s="61">
        <v>8284</v>
      </c>
      <c r="K279" s="61">
        <v>348369</v>
      </c>
      <c r="L279" s="61">
        <v>5629</v>
      </c>
      <c r="M279" s="61">
        <v>600086</v>
      </c>
      <c r="N279" s="61">
        <v>145268</v>
      </c>
      <c r="O279" s="61">
        <v>1230</v>
      </c>
      <c r="P279" s="61">
        <v>0.76792913675308228</v>
      </c>
      <c r="Q279" s="61">
        <v>0</v>
      </c>
      <c r="R279" s="61">
        <v>567518</v>
      </c>
      <c r="S279" s="61">
        <v>14237</v>
      </c>
      <c r="T279" s="61">
        <v>25546</v>
      </c>
      <c r="U279" s="61">
        <v>112852</v>
      </c>
      <c r="V279" s="61">
        <v>23706</v>
      </c>
    </row>
    <row r="280" spans="1:22">
      <c r="A280" s="61">
        <v>4651</v>
      </c>
      <c r="B280" t="s">
        <v>459</v>
      </c>
      <c r="C280" s="61">
        <v>3.8283318281173706E-2</v>
      </c>
      <c r="D280" s="61">
        <v>0.13776677846908569</v>
      </c>
      <c r="E280" s="61">
        <v>0.29625368118286133</v>
      </c>
      <c r="F280" s="61">
        <v>0.93243253231048584</v>
      </c>
      <c r="G280" s="61">
        <v>2.1566437557339668E-2</v>
      </c>
      <c r="H280" s="61">
        <v>672523</v>
      </c>
      <c r="I280" s="61">
        <v>683137</v>
      </c>
      <c r="J280" s="61">
        <v>6619</v>
      </c>
      <c r="K280" s="61">
        <v>405415</v>
      </c>
      <c r="L280" s="61">
        <v>0</v>
      </c>
      <c r="M280" s="61">
        <v>371384</v>
      </c>
      <c r="N280" s="61">
        <v>188693</v>
      </c>
      <c r="O280" s="61">
        <v>36</v>
      </c>
      <c r="P280" s="61">
        <v>0.8189740777015686</v>
      </c>
      <c r="Q280" s="61">
        <v>37374</v>
      </c>
      <c r="R280" s="61">
        <v>652279</v>
      </c>
      <c r="S280" s="61">
        <v>9592</v>
      </c>
      <c r="T280" s="61">
        <v>24158</v>
      </c>
      <c r="U280" s="61">
        <v>70827</v>
      </c>
      <c r="V280" s="61">
        <v>19679</v>
      </c>
    </row>
    <row r="281" spans="1:22">
      <c r="A281" s="61">
        <v>5001</v>
      </c>
      <c r="B281" t="s">
        <v>460</v>
      </c>
      <c r="C281" s="61">
        <v>4.2628902941942215E-2</v>
      </c>
      <c r="D281" s="61">
        <v>0.18104024231433868</v>
      </c>
      <c r="E281" s="61">
        <v>0.30666673183441162</v>
      </c>
      <c r="F281" s="61">
        <v>0.90570271015167236</v>
      </c>
      <c r="G281" s="61">
        <v>2.2471174597740173E-2</v>
      </c>
      <c r="H281" s="61">
        <v>19581786</v>
      </c>
      <c r="I281" s="61">
        <v>16607153</v>
      </c>
      <c r="J281" s="61">
        <v>264411</v>
      </c>
      <c r="K281" s="61">
        <v>14142379</v>
      </c>
      <c r="L281" s="61">
        <v>0</v>
      </c>
      <c r="M281" s="61">
        <v>12339176</v>
      </c>
      <c r="N281" s="61">
        <v>6382302</v>
      </c>
      <c r="O281" s="61">
        <v>468</v>
      </c>
      <c r="P281" s="61">
        <v>0.96268057823181152</v>
      </c>
      <c r="Q281" s="61">
        <v>1840036</v>
      </c>
      <c r="R281" s="61">
        <v>15166871</v>
      </c>
      <c r="S281" s="61">
        <v>384674</v>
      </c>
      <c r="T281" s="61">
        <v>796400</v>
      </c>
      <c r="U281" s="61">
        <v>3309887</v>
      </c>
      <c r="V281" s="61">
        <v>804872</v>
      </c>
    </row>
    <row r="282" spans="1:22">
      <c r="A282" s="61">
        <v>5006</v>
      </c>
      <c r="B282" t="s">
        <v>461</v>
      </c>
      <c r="C282" s="61">
        <v>3.8894724100828171E-2</v>
      </c>
      <c r="D282" s="61">
        <v>9.2760831117630005E-2</v>
      </c>
      <c r="E282" s="61">
        <v>0.23053807020187378</v>
      </c>
      <c r="F282" s="61">
        <v>0.939056396484375</v>
      </c>
      <c r="G282" s="61">
        <v>1.6093585640192032E-2</v>
      </c>
      <c r="H282" s="61">
        <v>1656955</v>
      </c>
      <c r="I282" s="61">
        <v>2301261</v>
      </c>
      <c r="J282" s="61">
        <v>21964</v>
      </c>
      <c r="K282" s="61">
        <v>1183691</v>
      </c>
      <c r="L282" s="61">
        <v>0</v>
      </c>
      <c r="M282" s="61">
        <v>2491897</v>
      </c>
      <c r="N282" s="61">
        <v>573976</v>
      </c>
      <c r="O282" s="61">
        <v>1362</v>
      </c>
      <c r="P282" s="61">
        <v>0.72924566268920898</v>
      </c>
      <c r="Q282" s="61">
        <v>200244</v>
      </c>
      <c r="R282" s="61">
        <v>2193989</v>
      </c>
      <c r="S282" s="61">
        <v>32755</v>
      </c>
      <c r="T282" s="61">
        <v>59961</v>
      </c>
      <c r="U282" s="61">
        <v>207366</v>
      </c>
      <c r="V282" s="61">
        <v>31225</v>
      </c>
    </row>
    <row r="283" spans="1:22">
      <c r="A283" s="61">
        <v>5007</v>
      </c>
      <c r="B283" t="s">
        <v>462</v>
      </c>
      <c r="C283" s="61">
        <v>3.4020032733678818E-2</v>
      </c>
      <c r="D283" s="61">
        <v>0.10209506750106812</v>
      </c>
      <c r="E283" s="61">
        <v>0.28111445903778076</v>
      </c>
      <c r="F283" s="61">
        <v>0.92213654518127441</v>
      </c>
      <c r="G283" s="61">
        <v>1.6958447173237801E-2</v>
      </c>
      <c r="H283" s="61">
        <v>1800372</v>
      </c>
      <c r="I283" s="61">
        <v>1636207</v>
      </c>
      <c r="J283" s="61">
        <v>15962</v>
      </c>
      <c r="K283" s="61">
        <v>1008791</v>
      </c>
      <c r="L283" s="61">
        <v>0</v>
      </c>
      <c r="M283" s="61">
        <v>1087285</v>
      </c>
      <c r="N283" s="61">
        <v>379162</v>
      </c>
      <c r="O283" s="61">
        <v>54</v>
      </c>
      <c r="P283" s="61">
        <v>0.77042222023010254</v>
      </c>
      <c r="Q283" s="61">
        <v>217224</v>
      </c>
      <c r="R283" s="61">
        <v>1499324</v>
      </c>
      <c r="S283" s="61">
        <v>30068</v>
      </c>
      <c r="T283" s="61">
        <v>53480</v>
      </c>
      <c r="U283" s="61">
        <v>268441</v>
      </c>
      <c r="V283" s="61">
        <v>26376</v>
      </c>
    </row>
    <row r="284" spans="1:22">
      <c r="A284" s="61">
        <v>5014</v>
      </c>
      <c r="B284" t="s">
        <v>463</v>
      </c>
      <c r="C284" s="61">
        <v>3.3529482781887054E-2</v>
      </c>
      <c r="D284" s="61">
        <v>0.30351856350898743</v>
      </c>
      <c r="E284" s="61">
        <v>0.24799588322639465</v>
      </c>
      <c r="F284" s="61">
        <v>0.84750610589981079</v>
      </c>
      <c r="G284" s="61">
        <v>1.5094032511115074E-2</v>
      </c>
      <c r="H284" s="61">
        <v>1233476</v>
      </c>
      <c r="I284" s="61">
        <v>650855</v>
      </c>
      <c r="J284" s="61">
        <v>10116</v>
      </c>
      <c r="K284" s="61">
        <v>872366</v>
      </c>
      <c r="L284" s="61">
        <v>0</v>
      </c>
      <c r="M284" s="61">
        <v>734362</v>
      </c>
      <c r="N284" s="61">
        <v>389526</v>
      </c>
      <c r="O284" s="61">
        <v>5</v>
      </c>
      <c r="P284" s="61">
        <v>2.3401775360107422</v>
      </c>
      <c r="Q284" s="61">
        <v>176312</v>
      </c>
      <c r="R284" s="61">
        <v>495556</v>
      </c>
      <c r="S284" s="61">
        <v>16169</v>
      </c>
      <c r="T284" s="61">
        <v>34404</v>
      </c>
      <c r="U284" s="61">
        <v>295811</v>
      </c>
      <c r="V284" s="61">
        <v>66423</v>
      </c>
    </row>
    <row r="285" spans="1:22">
      <c r="A285" s="61">
        <v>5020</v>
      </c>
      <c r="B285" t="s">
        <v>464</v>
      </c>
      <c r="C285" s="61">
        <v>7.0393778383731842E-2</v>
      </c>
      <c r="D285" s="61">
        <v>0.1230664849281311</v>
      </c>
      <c r="E285" s="61">
        <v>0.2753695547580719</v>
      </c>
      <c r="F285" s="61">
        <v>0.889018714427948</v>
      </c>
      <c r="G285" s="61">
        <v>3.6140341311693192E-2</v>
      </c>
      <c r="H285" s="61">
        <v>105396</v>
      </c>
      <c r="I285" s="61">
        <v>131945</v>
      </c>
      <c r="J285" s="61">
        <v>2267</v>
      </c>
      <c r="K285" s="61">
        <v>65004</v>
      </c>
      <c r="L285" s="61">
        <v>0</v>
      </c>
      <c r="M285" s="61">
        <v>63138</v>
      </c>
      <c r="N285" s="61">
        <v>21980</v>
      </c>
      <c r="O285" s="61">
        <v>3</v>
      </c>
      <c r="P285" s="61">
        <v>0.71750223636627197</v>
      </c>
      <c r="Q285" s="61">
        <v>31457</v>
      </c>
      <c r="R285" s="61">
        <v>118896</v>
      </c>
      <c r="S285" s="61">
        <v>1968</v>
      </c>
      <c r="T285" s="61">
        <v>6861</v>
      </c>
      <c r="U285" s="61">
        <v>19036</v>
      </c>
      <c r="V285" s="61">
        <v>2678</v>
      </c>
    </row>
    <row r="286" spans="1:22">
      <c r="A286" s="61">
        <v>5021</v>
      </c>
      <c r="B286" t="s">
        <v>465</v>
      </c>
      <c r="C286" s="61">
        <v>6.3607916235923767E-2</v>
      </c>
      <c r="D286" s="61">
        <v>0.12918993830680847</v>
      </c>
      <c r="E286" s="61">
        <v>0.26559537649154663</v>
      </c>
      <c r="F286" s="61">
        <v>0.91302311420440674</v>
      </c>
      <c r="G286" s="61">
        <v>2.4360530078411102E-2</v>
      </c>
      <c r="H286" s="61">
        <v>377232</v>
      </c>
      <c r="I286" s="61">
        <v>643969</v>
      </c>
      <c r="J286" s="61">
        <v>13646</v>
      </c>
      <c r="K286" s="61">
        <v>497666</v>
      </c>
      <c r="L286" s="61">
        <v>0</v>
      </c>
      <c r="M286" s="61">
        <v>173564</v>
      </c>
      <c r="N286" s="61">
        <v>187806</v>
      </c>
      <c r="O286" s="61">
        <v>6859</v>
      </c>
      <c r="P286" s="61">
        <v>0.83014374971389771</v>
      </c>
      <c r="Q286" s="61">
        <v>101966</v>
      </c>
      <c r="R286" s="61">
        <v>614459</v>
      </c>
      <c r="S286" s="61">
        <v>6967</v>
      </c>
      <c r="T286" s="61">
        <v>23862</v>
      </c>
      <c r="U286" s="61">
        <v>82367</v>
      </c>
      <c r="V286" s="61">
        <v>38346</v>
      </c>
    </row>
    <row r="287" spans="1:22">
      <c r="A287" s="61">
        <v>5022</v>
      </c>
      <c r="B287" t="s">
        <v>466</v>
      </c>
      <c r="C287" s="61">
        <v>3.6042165011167526E-2</v>
      </c>
      <c r="D287" s="61">
        <v>0.10478103160858154</v>
      </c>
      <c r="E287" s="61">
        <v>0.15041254460811615</v>
      </c>
      <c r="F287" s="61">
        <v>0.91787087917327881</v>
      </c>
      <c r="G287" s="61">
        <v>1.5735255554318428E-2</v>
      </c>
      <c r="H287" s="61">
        <v>233066</v>
      </c>
      <c r="I287" s="61">
        <v>292204</v>
      </c>
      <c r="J287" s="61">
        <v>1870</v>
      </c>
      <c r="K287" s="61">
        <v>144646</v>
      </c>
      <c r="L287" s="61">
        <v>0</v>
      </c>
      <c r="M287" s="61">
        <v>185795</v>
      </c>
      <c r="N287" s="61">
        <v>52383</v>
      </c>
      <c r="O287" s="61">
        <v>8333</v>
      </c>
      <c r="P287" s="61">
        <v>0.6520683765411377</v>
      </c>
      <c r="Q287" s="61">
        <v>52380</v>
      </c>
      <c r="R287" s="61">
        <v>261407</v>
      </c>
      <c r="S287" s="61">
        <v>3719</v>
      </c>
      <c r="T287" s="61">
        <v>8743</v>
      </c>
      <c r="U287" s="61">
        <v>23071</v>
      </c>
      <c r="V287" s="61">
        <v>7173</v>
      </c>
    </row>
    <row r="288" spans="1:22">
      <c r="A288" s="61">
        <v>5025</v>
      </c>
      <c r="B288" t="s">
        <v>467</v>
      </c>
      <c r="C288" s="61">
        <v>4.0219288319349289E-2</v>
      </c>
      <c r="D288" s="61">
        <v>0.12757675349712372</v>
      </c>
      <c r="E288" s="61">
        <v>0.2661283016204834</v>
      </c>
      <c r="F288" s="61">
        <v>0.92503482103347778</v>
      </c>
      <c r="G288" s="61">
        <v>8.8391071185469627E-3</v>
      </c>
      <c r="H288" s="61">
        <v>553554</v>
      </c>
      <c r="I288" s="61">
        <v>591225</v>
      </c>
      <c r="J288" s="61">
        <v>1235</v>
      </c>
      <c r="K288" s="61">
        <v>218625</v>
      </c>
      <c r="L288" s="61">
        <v>0</v>
      </c>
      <c r="M288" s="61">
        <v>367564</v>
      </c>
      <c r="N288" s="61">
        <v>149195</v>
      </c>
      <c r="O288" s="61">
        <v>2636</v>
      </c>
      <c r="P288" s="61">
        <v>0.82726788520812988</v>
      </c>
      <c r="Q288" s="61">
        <v>21977</v>
      </c>
      <c r="R288" s="61">
        <v>558568</v>
      </c>
      <c r="S288" s="61">
        <v>8835</v>
      </c>
      <c r="T288" s="61">
        <v>22053</v>
      </c>
      <c r="U288" s="61">
        <v>163632</v>
      </c>
      <c r="V288" s="61">
        <v>107958</v>
      </c>
    </row>
    <row r="289" spans="1:22">
      <c r="A289" s="61">
        <v>5026</v>
      </c>
      <c r="B289" t="s">
        <v>468</v>
      </c>
      <c r="C289" s="61">
        <v>3.4349601715803146E-2</v>
      </c>
      <c r="D289" s="61">
        <v>0.15787357091903687</v>
      </c>
      <c r="E289" s="61">
        <v>0.30965572595596313</v>
      </c>
      <c r="F289" s="61">
        <v>0.92676877975463867</v>
      </c>
      <c r="G289" s="61">
        <v>4.6503499150276184E-2</v>
      </c>
      <c r="H289" s="61">
        <v>283182</v>
      </c>
      <c r="I289" s="61">
        <v>213544</v>
      </c>
      <c r="J289" s="61">
        <v>3745</v>
      </c>
      <c r="K289" s="61">
        <v>121030</v>
      </c>
      <c r="L289" s="61">
        <v>0</v>
      </c>
      <c r="M289" s="61">
        <v>214518</v>
      </c>
      <c r="N289" s="61">
        <v>45380</v>
      </c>
      <c r="O289" s="61">
        <v>0</v>
      </c>
      <c r="P289" s="61">
        <v>0.70889830589294434</v>
      </c>
      <c r="Q289" s="61">
        <v>21047</v>
      </c>
      <c r="R289" s="61">
        <v>203018</v>
      </c>
      <c r="S289" s="61">
        <v>6039</v>
      </c>
      <c r="T289" s="61">
        <v>9776</v>
      </c>
      <c r="U289" s="61">
        <v>38404</v>
      </c>
      <c r="V289" s="61">
        <v>39749</v>
      </c>
    </row>
    <row r="290" spans="1:22">
      <c r="A290" s="61">
        <v>5027</v>
      </c>
      <c r="B290" t="s">
        <v>469</v>
      </c>
      <c r="C290" s="61">
        <v>4.0379442274570465E-2</v>
      </c>
      <c r="D290" s="61">
        <v>0.1551654189825058</v>
      </c>
      <c r="E290" s="61">
        <v>0.31944525241851807</v>
      </c>
      <c r="F290" s="61">
        <v>0.93595308065414429</v>
      </c>
      <c r="G290" s="61">
        <v>3.4125111997127533E-2</v>
      </c>
      <c r="H290" s="61">
        <v>520832</v>
      </c>
      <c r="I290" s="61">
        <v>570630</v>
      </c>
      <c r="J290" s="61">
        <v>8251</v>
      </c>
      <c r="K290" s="61">
        <v>277839</v>
      </c>
      <c r="L290" s="61">
        <v>0</v>
      </c>
      <c r="M290" s="61">
        <v>487353</v>
      </c>
      <c r="N290" s="61">
        <v>143443</v>
      </c>
      <c r="O290" s="61">
        <v>1229</v>
      </c>
      <c r="P290" s="61">
        <v>0.71160322427749634</v>
      </c>
      <c r="Q290" s="61">
        <v>28902</v>
      </c>
      <c r="R290" s="61">
        <v>543213</v>
      </c>
      <c r="S290" s="61">
        <v>15847</v>
      </c>
      <c r="T290" s="61">
        <v>21986</v>
      </c>
      <c r="U290" s="61">
        <v>59818</v>
      </c>
      <c r="V290" s="61">
        <v>32080</v>
      </c>
    </row>
    <row r="291" spans="1:22">
      <c r="A291" s="61">
        <v>5028</v>
      </c>
      <c r="B291" t="s">
        <v>470</v>
      </c>
      <c r="C291" s="61">
        <v>3.9423529058694839E-2</v>
      </c>
      <c r="D291" s="61">
        <v>0.17535297572612762</v>
      </c>
      <c r="E291" s="61">
        <v>0.34040606021881104</v>
      </c>
      <c r="F291" s="61">
        <v>0.91068333387374878</v>
      </c>
      <c r="G291" s="61">
        <v>2.9059261083602905E-2</v>
      </c>
      <c r="H291" s="61">
        <v>1836011</v>
      </c>
      <c r="I291" s="61">
        <v>1417800</v>
      </c>
      <c r="J291" s="61">
        <v>35860</v>
      </c>
      <c r="K291" s="61">
        <v>1132361</v>
      </c>
      <c r="L291" s="61">
        <v>0</v>
      </c>
      <c r="M291" s="61">
        <v>1106842</v>
      </c>
      <c r="N291" s="61">
        <v>413343</v>
      </c>
      <c r="O291" s="61">
        <v>543</v>
      </c>
      <c r="P291" s="61">
        <v>0.76443523168563843</v>
      </c>
      <c r="Q291" s="61">
        <v>236120</v>
      </c>
      <c r="R291" s="61">
        <v>1308290</v>
      </c>
      <c r="S291" s="61">
        <v>33981</v>
      </c>
      <c r="T291" s="61">
        <v>65986</v>
      </c>
      <c r="U291" s="61">
        <v>438897</v>
      </c>
      <c r="V291" s="61">
        <v>193927</v>
      </c>
    </row>
    <row r="292" spans="1:22">
      <c r="A292" s="61">
        <v>5029</v>
      </c>
      <c r="B292" t="s">
        <v>471</v>
      </c>
      <c r="C292" s="61">
        <v>3.708064928650856E-2</v>
      </c>
      <c r="D292" s="61">
        <v>0.1928735226392746</v>
      </c>
      <c r="E292" s="61">
        <v>0.25041565299034119</v>
      </c>
      <c r="F292" s="61">
        <v>0.91623908281326294</v>
      </c>
      <c r="G292" s="61">
        <v>2.1058158949017525E-2</v>
      </c>
      <c r="H292" s="61">
        <v>902217</v>
      </c>
      <c r="I292" s="61">
        <v>687445</v>
      </c>
      <c r="J292" s="61">
        <v>8408</v>
      </c>
      <c r="K292" s="61">
        <v>414377</v>
      </c>
      <c r="L292" s="61">
        <v>0</v>
      </c>
      <c r="M292" s="61">
        <v>621011</v>
      </c>
      <c r="N292" s="61">
        <v>203063</v>
      </c>
      <c r="O292" s="61">
        <v>0</v>
      </c>
      <c r="P292" s="61">
        <v>0.75483226776123047</v>
      </c>
      <c r="Q292" s="61">
        <v>130346</v>
      </c>
      <c r="R292" s="61">
        <v>642018</v>
      </c>
      <c r="S292" s="61">
        <v>14781</v>
      </c>
      <c r="T292" s="61">
        <v>32310</v>
      </c>
      <c r="U292" s="61">
        <v>59580</v>
      </c>
      <c r="V292" s="61">
        <v>24749</v>
      </c>
    </row>
    <row r="293" spans="1:22">
      <c r="A293" s="61">
        <v>5031</v>
      </c>
      <c r="B293" t="s">
        <v>472</v>
      </c>
      <c r="C293" s="61">
        <v>3.1602155417203903E-2</v>
      </c>
      <c r="D293" s="61">
        <v>0.18792952597141266</v>
      </c>
      <c r="E293" s="61">
        <v>0.28371721506118774</v>
      </c>
      <c r="F293" s="61">
        <v>0.9041825532913208</v>
      </c>
      <c r="G293" s="61">
        <v>2.5038739666342735E-2</v>
      </c>
      <c r="H293" s="61">
        <v>1818176</v>
      </c>
      <c r="I293" s="61">
        <v>1115116</v>
      </c>
      <c r="J293" s="61">
        <v>19350</v>
      </c>
      <c r="K293" s="61">
        <v>941970</v>
      </c>
      <c r="L293" s="61">
        <v>0</v>
      </c>
      <c r="M293" s="61">
        <v>859530</v>
      </c>
      <c r="N293" s="61">
        <v>408135</v>
      </c>
      <c r="O293" s="61">
        <v>25</v>
      </c>
      <c r="P293" s="61">
        <v>0.8927147388458252</v>
      </c>
      <c r="Q293" s="61">
        <v>87736</v>
      </c>
      <c r="R293" s="61">
        <v>1036853</v>
      </c>
      <c r="S293" s="61">
        <v>32304</v>
      </c>
      <c r="T293" s="61">
        <v>51906</v>
      </c>
      <c r="U293" s="61">
        <v>96403</v>
      </c>
      <c r="V293" s="61">
        <v>51647</v>
      </c>
    </row>
    <row r="294" spans="1:22">
      <c r="A294" s="61">
        <v>5032</v>
      </c>
      <c r="B294" t="s">
        <v>473</v>
      </c>
      <c r="C294" s="61">
        <v>3.2560456544160843E-2</v>
      </c>
      <c r="D294" s="61">
        <v>0.15335403382778168</v>
      </c>
      <c r="E294" s="61">
        <v>0.41701889038085938</v>
      </c>
      <c r="F294" s="61">
        <v>0.93381279706954956</v>
      </c>
      <c r="G294" s="61">
        <v>5.5301308631896973E-2</v>
      </c>
      <c r="H294" s="61">
        <v>454813</v>
      </c>
      <c r="I294" s="61">
        <v>412653</v>
      </c>
      <c r="J294" s="61">
        <v>11802</v>
      </c>
      <c r="K294" s="61">
        <v>291258</v>
      </c>
      <c r="L294" s="61">
        <v>0</v>
      </c>
      <c r="M294" s="61">
        <v>374055</v>
      </c>
      <c r="N294" s="61">
        <v>102099</v>
      </c>
      <c r="O294" s="61">
        <v>3053</v>
      </c>
      <c r="P294" s="61">
        <v>0.77783143520355225</v>
      </c>
      <c r="Q294" s="61">
        <v>33916</v>
      </c>
      <c r="R294" s="61">
        <v>397308</v>
      </c>
      <c r="S294" s="61">
        <v>6961</v>
      </c>
      <c r="T294" s="61">
        <v>15172</v>
      </c>
      <c r="U294" s="61">
        <v>186408</v>
      </c>
      <c r="V294" s="61">
        <v>126567</v>
      </c>
    </row>
    <row r="295" spans="1:22">
      <c r="A295" s="61">
        <v>5033</v>
      </c>
      <c r="B295" t="s">
        <v>474</v>
      </c>
      <c r="C295" s="61">
        <v>4.5232482254505157E-2</v>
      </c>
      <c r="D295" s="61">
        <v>0.11164106428623199</v>
      </c>
      <c r="E295" s="61">
        <v>0.29567968845367432</v>
      </c>
      <c r="F295" s="61">
        <v>0.9268990159034729</v>
      </c>
      <c r="G295" s="61">
        <v>1.4585026539862156E-2</v>
      </c>
      <c r="H295" s="61">
        <v>89989</v>
      </c>
      <c r="I295" s="61">
        <v>148737</v>
      </c>
      <c r="J295" s="61">
        <v>1093</v>
      </c>
      <c r="K295" s="61">
        <v>99481</v>
      </c>
      <c r="L295" s="61">
        <v>0</v>
      </c>
      <c r="M295" s="61">
        <v>21201</v>
      </c>
      <c r="N295" s="61">
        <v>19621</v>
      </c>
      <c r="O295" s="61">
        <v>19286</v>
      </c>
      <c r="P295" s="61">
        <v>0.78958463668823242</v>
      </c>
      <c r="Q295" s="61">
        <v>34852</v>
      </c>
      <c r="R295" s="61">
        <v>128740</v>
      </c>
      <c r="S295" s="61">
        <v>1600</v>
      </c>
      <c r="T295" s="61">
        <v>4009</v>
      </c>
      <c r="U295" s="61">
        <v>7772</v>
      </c>
      <c r="V295" s="61">
        <v>8352</v>
      </c>
    </row>
    <row r="296" spans="1:22">
      <c r="A296" s="61">
        <v>5034</v>
      </c>
      <c r="B296" t="s">
        <v>475</v>
      </c>
      <c r="C296" s="61">
        <v>2.9226575046777725E-2</v>
      </c>
      <c r="D296" s="61">
        <v>0.10237986594438553</v>
      </c>
      <c r="E296" s="61">
        <v>0.23157185316085815</v>
      </c>
      <c r="F296" s="61">
        <v>0.90028083324432373</v>
      </c>
      <c r="G296" s="61">
        <v>1.7167111858725548E-2</v>
      </c>
      <c r="H296" s="61">
        <v>419651</v>
      </c>
      <c r="I296" s="61">
        <v>293357</v>
      </c>
      <c r="J296" s="61">
        <v>6999</v>
      </c>
      <c r="K296" s="61">
        <v>389339</v>
      </c>
      <c r="L296" s="61">
        <v>0</v>
      </c>
      <c r="M296" s="61">
        <v>141653</v>
      </c>
      <c r="N296" s="61">
        <v>48054</v>
      </c>
      <c r="O296" s="61">
        <v>11060</v>
      </c>
      <c r="P296" s="61">
        <v>0.61398720741271973</v>
      </c>
      <c r="Q296" s="61">
        <v>43574</v>
      </c>
      <c r="R296" s="61">
        <v>266457</v>
      </c>
      <c r="S296" s="61">
        <v>6566</v>
      </c>
      <c r="T296" s="61">
        <v>10936</v>
      </c>
      <c r="U296" s="61">
        <v>16665</v>
      </c>
      <c r="V296" s="61">
        <v>1656</v>
      </c>
    </row>
    <row r="297" spans="1:22">
      <c r="A297" s="61">
        <v>5035</v>
      </c>
      <c r="B297" t="s">
        <v>476</v>
      </c>
      <c r="C297" s="61">
        <v>3.4242868423461914E-2</v>
      </c>
      <c r="D297" s="61">
        <v>0.18573382496833801</v>
      </c>
      <c r="E297" s="61">
        <v>0.27857467532157898</v>
      </c>
      <c r="F297" s="61">
        <v>0.89262270927429199</v>
      </c>
      <c r="G297" s="61">
        <v>1.7082065343856812E-2</v>
      </c>
      <c r="H297" s="61">
        <v>2714531</v>
      </c>
      <c r="I297" s="61">
        <v>2313385</v>
      </c>
      <c r="J297" s="61">
        <v>28076</v>
      </c>
      <c r="K297" s="61">
        <v>1465365</v>
      </c>
      <c r="L297" s="61">
        <v>0</v>
      </c>
      <c r="M297" s="61">
        <v>1601264</v>
      </c>
      <c r="N297" s="61">
        <v>598173</v>
      </c>
      <c r="O297" s="61">
        <v>0</v>
      </c>
      <c r="P297" s="61">
        <v>0.76666122674942017</v>
      </c>
      <c r="Q297" s="61">
        <v>249976</v>
      </c>
      <c r="R297" s="61">
        <v>2067788</v>
      </c>
      <c r="S297" s="61">
        <v>50309</v>
      </c>
      <c r="T297" s="61">
        <v>90460</v>
      </c>
      <c r="U297" s="61">
        <v>406585</v>
      </c>
      <c r="V297" s="61">
        <v>160506</v>
      </c>
    </row>
    <row r="298" spans="1:22">
      <c r="A298" s="61">
        <v>5036</v>
      </c>
      <c r="B298" t="s">
        <v>477</v>
      </c>
      <c r="C298" s="61">
        <v>4.1624013334512711E-2</v>
      </c>
      <c r="D298" s="61">
        <v>0.11597429215908051</v>
      </c>
      <c r="E298" s="61">
        <v>0.31460165977478027</v>
      </c>
      <c r="F298" s="61">
        <v>0.94371902942657471</v>
      </c>
      <c r="G298" s="61">
        <v>1.7336225137114525E-2</v>
      </c>
      <c r="H298" s="61">
        <v>219541</v>
      </c>
      <c r="I298" s="61">
        <v>245701</v>
      </c>
      <c r="J298" s="61">
        <v>1895</v>
      </c>
      <c r="K298" s="61">
        <v>87240</v>
      </c>
      <c r="L298" s="61">
        <v>0</v>
      </c>
      <c r="M298" s="61">
        <v>178540</v>
      </c>
      <c r="N298" s="61">
        <v>60319</v>
      </c>
      <c r="O298" s="61">
        <v>0</v>
      </c>
      <c r="P298" s="61">
        <v>0.71055543422698975</v>
      </c>
      <c r="Q298" s="61">
        <v>10943</v>
      </c>
      <c r="R298" s="61">
        <v>223739</v>
      </c>
      <c r="S298" s="61">
        <v>4121</v>
      </c>
      <c r="T298" s="61">
        <v>9149</v>
      </c>
      <c r="U298" s="61">
        <v>32844</v>
      </c>
      <c r="V298" s="61">
        <v>19864</v>
      </c>
    </row>
    <row r="299" spans="1:22">
      <c r="A299" s="61">
        <v>5037</v>
      </c>
      <c r="B299" t="s">
        <v>478</v>
      </c>
      <c r="C299" s="61">
        <v>3.2277904450893402E-2</v>
      </c>
      <c r="D299" s="61">
        <v>0.18069189786911011</v>
      </c>
      <c r="E299" s="61">
        <v>0.27620437741279602</v>
      </c>
      <c r="F299" s="61">
        <v>0.92350268363952637</v>
      </c>
      <c r="G299" s="61">
        <v>2.2373350337147713E-2</v>
      </c>
      <c r="H299" s="61">
        <v>2891669</v>
      </c>
      <c r="I299" s="61">
        <v>1777730</v>
      </c>
      <c r="J299" s="61">
        <v>18655</v>
      </c>
      <c r="K299" s="61">
        <v>780248</v>
      </c>
      <c r="L299" s="61">
        <v>0</v>
      </c>
      <c r="M299" s="61">
        <v>2160810</v>
      </c>
      <c r="N299" s="61">
        <v>509280</v>
      </c>
      <c r="O299" s="61">
        <v>0</v>
      </c>
      <c r="P299" s="61">
        <v>0.78159874677658081</v>
      </c>
      <c r="Q299" s="61">
        <v>25991</v>
      </c>
      <c r="R299" s="61">
        <v>1684783</v>
      </c>
      <c r="S299" s="61">
        <v>48349</v>
      </c>
      <c r="T299" s="61">
        <v>90901</v>
      </c>
      <c r="U299" s="61">
        <v>247489</v>
      </c>
      <c r="V299" s="61">
        <v>152131</v>
      </c>
    </row>
    <row r="300" spans="1:22">
      <c r="A300" s="61">
        <v>5038</v>
      </c>
      <c r="B300" t="s">
        <v>479</v>
      </c>
      <c r="C300" s="61">
        <v>3.7438873201608658E-2</v>
      </c>
      <c r="D300" s="61">
        <v>0.15238805115222931</v>
      </c>
      <c r="E300" s="61">
        <v>0.22522403299808502</v>
      </c>
      <c r="F300" s="61">
        <v>0.9183419942855835</v>
      </c>
      <c r="G300" s="61">
        <v>2.1980684250593185E-2</v>
      </c>
      <c r="H300" s="61">
        <v>2016933</v>
      </c>
      <c r="I300" s="61">
        <v>1259824</v>
      </c>
      <c r="J300" s="61">
        <v>16571</v>
      </c>
      <c r="K300" s="61">
        <v>669549</v>
      </c>
      <c r="L300" s="61">
        <v>77</v>
      </c>
      <c r="M300" s="61">
        <v>879994</v>
      </c>
      <c r="N300" s="61">
        <v>346720</v>
      </c>
      <c r="O300" s="61">
        <v>0</v>
      </c>
      <c r="P300" s="61">
        <v>0.71779382228851318</v>
      </c>
      <c r="Q300" s="61">
        <v>66715</v>
      </c>
      <c r="R300" s="61">
        <v>1144099</v>
      </c>
      <c r="S300" s="61">
        <v>35652</v>
      </c>
      <c r="T300" s="61">
        <v>60001</v>
      </c>
      <c r="U300" s="61">
        <v>547828</v>
      </c>
      <c r="V300" s="61">
        <v>111572</v>
      </c>
    </row>
    <row r="301" spans="1:22">
      <c r="A301" s="61">
        <v>5041</v>
      </c>
      <c r="B301" t="s">
        <v>480</v>
      </c>
      <c r="C301" s="61">
        <v>4.197591170668602E-2</v>
      </c>
      <c r="D301" s="61">
        <v>0.13311350345611572</v>
      </c>
      <c r="E301" s="61">
        <v>0.28349420428276062</v>
      </c>
      <c r="F301" s="61">
        <v>0.93376797437667847</v>
      </c>
      <c r="G301" s="61">
        <v>1.9569260999560356E-2</v>
      </c>
      <c r="H301" s="61">
        <v>266958</v>
      </c>
      <c r="I301" s="61">
        <v>235988</v>
      </c>
      <c r="J301" s="61">
        <v>2251</v>
      </c>
      <c r="K301" s="61">
        <v>79283</v>
      </c>
      <c r="L301" s="61">
        <v>0</v>
      </c>
      <c r="M301" s="61">
        <v>247816</v>
      </c>
      <c r="N301" s="61">
        <v>45032</v>
      </c>
      <c r="O301" s="61">
        <v>1135</v>
      </c>
      <c r="P301" s="61">
        <v>0.67550086975097656</v>
      </c>
      <c r="Q301" s="61">
        <v>24999</v>
      </c>
      <c r="R301" s="61">
        <v>221061</v>
      </c>
      <c r="S301" s="61">
        <v>4721</v>
      </c>
      <c r="T301" s="61">
        <v>9428</v>
      </c>
      <c r="U301" s="61">
        <v>110895</v>
      </c>
      <c r="V301" s="61">
        <v>22099</v>
      </c>
    </row>
    <row r="302" spans="1:22">
      <c r="A302" s="61">
        <v>5042</v>
      </c>
      <c r="B302" t="s">
        <v>481</v>
      </c>
      <c r="C302" s="61">
        <v>5.2429735660552979E-2</v>
      </c>
      <c r="D302" s="61">
        <v>0.13535338640213013</v>
      </c>
      <c r="E302" s="61">
        <v>0.37530407309532166</v>
      </c>
      <c r="F302" s="61">
        <v>0.93922680616378784</v>
      </c>
      <c r="G302" s="61">
        <v>1.4729302376508713E-2</v>
      </c>
      <c r="H302" s="61">
        <v>178166</v>
      </c>
      <c r="I302" s="61">
        <v>203217</v>
      </c>
      <c r="J302" s="61">
        <v>2213</v>
      </c>
      <c r="K302" s="61">
        <v>102275</v>
      </c>
      <c r="L302" s="61">
        <v>0</v>
      </c>
      <c r="M302" s="61">
        <v>129216</v>
      </c>
      <c r="N302" s="61">
        <v>31797</v>
      </c>
      <c r="O302" s="61">
        <v>5091</v>
      </c>
      <c r="P302" s="61">
        <v>0.72619080543518066</v>
      </c>
      <c r="Q302" s="61">
        <v>13833</v>
      </c>
      <c r="R302" s="61">
        <v>190689</v>
      </c>
      <c r="S302" s="61">
        <v>3483</v>
      </c>
      <c r="T302" s="61">
        <v>9064</v>
      </c>
      <c r="U302" s="61">
        <v>25942</v>
      </c>
      <c r="V302" s="61">
        <v>8681</v>
      </c>
    </row>
    <row r="303" spans="1:22">
      <c r="A303" s="61">
        <v>5043</v>
      </c>
      <c r="B303" t="s">
        <v>482</v>
      </c>
      <c r="C303" s="61">
        <v>4.468081146478653E-2</v>
      </c>
      <c r="D303" s="61">
        <v>0.14939086139202118</v>
      </c>
      <c r="E303" s="61">
        <v>0.34375110268592834</v>
      </c>
      <c r="F303" s="61">
        <v>0.91919946670532227</v>
      </c>
      <c r="G303" s="61">
        <v>2.4142637848854065E-2</v>
      </c>
      <c r="H303" s="61">
        <v>102837</v>
      </c>
      <c r="I303" s="61">
        <v>99915</v>
      </c>
      <c r="J303" s="61">
        <v>1904</v>
      </c>
      <c r="K303" s="61">
        <v>51989</v>
      </c>
      <c r="L303" s="61">
        <v>0</v>
      </c>
      <c r="M303" s="61">
        <v>82842</v>
      </c>
      <c r="N303" s="61">
        <v>9010</v>
      </c>
      <c r="O303" s="61">
        <v>12422</v>
      </c>
      <c r="P303" s="61">
        <v>0.60482227802276611</v>
      </c>
      <c r="Q303" s="61">
        <v>0</v>
      </c>
      <c r="R303" s="61">
        <v>96641</v>
      </c>
      <c r="S303" s="61">
        <v>1822</v>
      </c>
      <c r="T303" s="61">
        <v>5003</v>
      </c>
      <c r="U303" s="61">
        <v>12950</v>
      </c>
      <c r="V303" s="61">
        <v>2239</v>
      </c>
    </row>
    <row r="304" spans="1:22">
      <c r="A304" s="61">
        <v>5044</v>
      </c>
      <c r="B304" t="s">
        <v>483</v>
      </c>
      <c r="C304" s="61">
        <v>5.1359724253416061E-2</v>
      </c>
      <c r="D304" s="61">
        <v>0.14273680746555328</v>
      </c>
      <c r="E304" s="61">
        <v>0.54112160205841064</v>
      </c>
      <c r="F304" s="61">
        <v>0.90300893783569336</v>
      </c>
      <c r="G304" s="61">
        <v>2.3064764216542244E-2</v>
      </c>
      <c r="H304" s="61">
        <v>123279</v>
      </c>
      <c r="I304" s="61">
        <v>145452</v>
      </c>
      <c r="J304" s="61">
        <v>3836</v>
      </c>
      <c r="K304" s="61">
        <v>123699</v>
      </c>
      <c r="L304" s="61">
        <v>0</v>
      </c>
      <c r="M304" s="61">
        <v>110756</v>
      </c>
      <c r="N304" s="61">
        <v>19411</v>
      </c>
      <c r="O304" s="61">
        <v>12186</v>
      </c>
      <c r="P304" s="61">
        <v>0.71256458759307861</v>
      </c>
      <c r="Q304" s="61">
        <v>31816</v>
      </c>
      <c r="R304" s="61">
        <v>136529</v>
      </c>
      <c r="S304" s="61">
        <v>2321</v>
      </c>
      <c r="T304" s="61">
        <v>6697</v>
      </c>
      <c r="U304" s="61">
        <v>7756</v>
      </c>
      <c r="V304" s="61">
        <v>2208</v>
      </c>
    </row>
    <row r="305" spans="1:22">
      <c r="A305" s="61">
        <v>5045</v>
      </c>
      <c r="B305" t="s">
        <v>484</v>
      </c>
      <c r="C305" s="61">
        <v>3.9722692221403122E-2</v>
      </c>
      <c r="D305" s="61">
        <v>0.16653327643871307</v>
      </c>
      <c r="E305" s="61">
        <v>0.31432309746742249</v>
      </c>
      <c r="F305" s="61">
        <v>0.915183424949646</v>
      </c>
      <c r="G305" s="61">
        <v>1.7140395939350128E-2</v>
      </c>
      <c r="H305" s="61">
        <v>400844</v>
      </c>
      <c r="I305" s="61">
        <v>340387</v>
      </c>
      <c r="J305" s="61">
        <v>4062</v>
      </c>
      <c r="K305" s="61">
        <v>186189</v>
      </c>
      <c r="L305" s="61">
        <v>0</v>
      </c>
      <c r="M305" s="61"/>
      <c r="N305" s="61">
        <v>55358</v>
      </c>
      <c r="O305" s="61">
        <v>5860</v>
      </c>
      <c r="P305" s="61">
        <v>0.7262001633644104</v>
      </c>
      <c r="Q305" s="61">
        <v>56699</v>
      </c>
      <c r="R305" s="61">
        <v>318316</v>
      </c>
      <c r="S305" s="61">
        <v>8147</v>
      </c>
      <c r="T305" s="61">
        <v>15923</v>
      </c>
      <c r="U305" s="61">
        <v>25745</v>
      </c>
      <c r="V305" s="61">
        <v>6330</v>
      </c>
    </row>
    <row r="306" spans="1:22">
      <c r="A306" s="61">
        <v>5046</v>
      </c>
      <c r="B306" t="s">
        <v>485</v>
      </c>
      <c r="C306" s="61">
        <v>3.1437385827302933E-2</v>
      </c>
      <c r="D306" s="61">
        <v>0.12875878810882568</v>
      </c>
      <c r="E306" s="61">
        <v>0.26493099331855774</v>
      </c>
      <c r="F306" s="61">
        <v>0.94696485996246338</v>
      </c>
      <c r="G306" s="61">
        <v>1.7720367759466171E-2</v>
      </c>
      <c r="H306" s="61">
        <v>172159</v>
      </c>
      <c r="I306" s="61">
        <v>161391</v>
      </c>
      <c r="J306" s="61">
        <v>1362</v>
      </c>
      <c r="K306" s="61">
        <v>64797</v>
      </c>
      <c r="L306" s="61">
        <v>0</v>
      </c>
      <c r="M306" s="61">
        <v>149480</v>
      </c>
      <c r="N306" s="61">
        <v>27461</v>
      </c>
      <c r="O306" s="61">
        <v>0</v>
      </c>
      <c r="P306" s="61">
        <v>0.69033867120742798</v>
      </c>
      <c r="Q306" s="61">
        <v>19241</v>
      </c>
      <c r="R306" s="61">
        <v>152961</v>
      </c>
      <c r="S306" s="61">
        <v>2219</v>
      </c>
      <c r="T306" s="61">
        <v>4556</v>
      </c>
      <c r="U306" s="61">
        <v>65598</v>
      </c>
      <c r="V306" s="61">
        <v>11642</v>
      </c>
    </row>
    <row r="307" spans="1:22">
      <c r="A307" s="61">
        <v>5047</v>
      </c>
      <c r="B307" t="s">
        <v>486</v>
      </c>
      <c r="C307" s="61">
        <v>3.0589379370212555E-2</v>
      </c>
      <c r="D307" s="61">
        <v>0.15317811071872711</v>
      </c>
      <c r="E307" s="61">
        <v>0.23348712921142578</v>
      </c>
      <c r="F307" s="61">
        <v>0.90212130546569824</v>
      </c>
      <c r="G307" s="61">
        <v>1.9593093544244766E-2</v>
      </c>
      <c r="H307" s="61">
        <v>500836</v>
      </c>
      <c r="I307" s="61">
        <v>371103</v>
      </c>
      <c r="J307" s="61">
        <v>3967</v>
      </c>
      <c r="K307" s="61">
        <v>205453</v>
      </c>
      <c r="L307" s="61">
        <v>0</v>
      </c>
      <c r="M307" s="61">
        <v>382488</v>
      </c>
      <c r="N307" s="61">
        <v>92418</v>
      </c>
      <c r="O307" s="61">
        <v>442</v>
      </c>
      <c r="P307" s="61">
        <v>0.73634487390518188</v>
      </c>
      <c r="Q307" s="61">
        <v>67460</v>
      </c>
      <c r="R307" s="61">
        <v>336629</v>
      </c>
      <c r="S307" s="61">
        <v>11864</v>
      </c>
      <c r="T307" s="61">
        <v>14224</v>
      </c>
      <c r="U307" s="61">
        <v>102430</v>
      </c>
      <c r="V307" s="61">
        <v>21552</v>
      </c>
    </row>
    <row r="308" spans="1:22">
      <c r="A308" s="61">
        <v>5049</v>
      </c>
      <c r="B308" t="s">
        <v>487</v>
      </c>
      <c r="C308" s="61">
        <v>3.2855059951543808E-2</v>
      </c>
      <c r="D308" s="61">
        <v>0.25191992521286011</v>
      </c>
      <c r="E308" s="61">
        <v>0.338878333568573</v>
      </c>
      <c r="F308" s="61">
        <v>0.83146446943283081</v>
      </c>
      <c r="G308" s="61">
        <v>1.4784735627472401E-2</v>
      </c>
      <c r="H308" s="61">
        <v>130828</v>
      </c>
      <c r="I308" s="61">
        <v>164049</v>
      </c>
      <c r="J308" s="61">
        <v>1660</v>
      </c>
      <c r="K308" s="61">
        <v>94186</v>
      </c>
      <c r="L308" s="61">
        <v>0</v>
      </c>
      <c r="M308" s="61">
        <v>117329</v>
      </c>
      <c r="N308" s="61">
        <v>41284</v>
      </c>
      <c r="O308" s="61">
        <v>0</v>
      </c>
      <c r="P308" s="61">
        <v>1.1582709550857544</v>
      </c>
      <c r="Q308" s="61">
        <v>18613</v>
      </c>
      <c r="R308" s="61">
        <v>124007</v>
      </c>
      <c r="S308" s="61">
        <v>2531</v>
      </c>
      <c r="T308" s="61">
        <v>6036</v>
      </c>
      <c r="U308" s="61">
        <v>74855</v>
      </c>
      <c r="V308" s="61">
        <v>4999</v>
      </c>
    </row>
    <row r="309" spans="1:22">
      <c r="A309" s="61">
        <v>5052</v>
      </c>
      <c r="B309" t="s">
        <v>488</v>
      </c>
      <c r="C309" s="61">
        <v>5.5936601012945175E-2</v>
      </c>
      <c r="D309" s="61">
        <v>8.3516888320446014E-2</v>
      </c>
      <c r="E309" s="61">
        <v>0.37015447020530701</v>
      </c>
      <c r="F309" s="61">
        <v>0.89122611284255981</v>
      </c>
      <c r="G309" s="61">
        <v>1.5764886513352394E-2</v>
      </c>
      <c r="H309" s="61">
        <v>47016</v>
      </c>
      <c r="I309" s="61">
        <v>101071</v>
      </c>
      <c r="J309" s="61">
        <v>1131</v>
      </c>
      <c r="K309" s="61">
        <v>59415</v>
      </c>
      <c r="L309" s="61">
        <v>0</v>
      </c>
      <c r="M309" s="61">
        <v>42062</v>
      </c>
      <c r="N309" s="61">
        <v>13835</v>
      </c>
      <c r="O309" s="61">
        <v>0</v>
      </c>
      <c r="P309" s="61">
        <v>0.76864868402481079</v>
      </c>
      <c r="Q309" s="61">
        <v>27065</v>
      </c>
      <c r="R309" s="61">
        <v>91078</v>
      </c>
      <c r="S309" s="61">
        <v>962</v>
      </c>
      <c r="T309" s="61">
        <v>2781</v>
      </c>
      <c r="U309" s="61">
        <v>3865</v>
      </c>
      <c r="V309" s="61">
        <v>1092</v>
      </c>
    </row>
    <row r="310" spans="1:22">
      <c r="A310" s="61">
        <v>5053</v>
      </c>
      <c r="B310" t="s">
        <v>489</v>
      </c>
      <c r="C310" s="61">
        <v>5.444655567407608E-2</v>
      </c>
      <c r="D310" s="61">
        <v>0.1766444593667984</v>
      </c>
      <c r="E310" s="61">
        <v>0.27683490514755249</v>
      </c>
      <c r="F310" s="61">
        <v>0.90953123569488525</v>
      </c>
      <c r="G310" s="61">
        <v>1.830325648188591E-2</v>
      </c>
      <c r="H310" s="61">
        <v>754104</v>
      </c>
      <c r="I310" s="61">
        <v>636798</v>
      </c>
      <c r="J310" s="61">
        <v>6200</v>
      </c>
      <c r="K310" s="61">
        <v>358640</v>
      </c>
      <c r="L310" s="61">
        <v>0</v>
      </c>
      <c r="M310" s="61">
        <v>515907</v>
      </c>
      <c r="N310" s="61">
        <v>166537</v>
      </c>
      <c r="O310" s="61">
        <v>1288</v>
      </c>
      <c r="P310" s="61">
        <v>0.75611013174057007</v>
      </c>
      <c r="Q310" s="61">
        <v>63094</v>
      </c>
      <c r="R310" s="61">
        <v>573968</v>
      </c>
      <c r="S310" s="61">
        <v>13296</v>
      </c>
      <c r="T310" s="61">
        <v>36355</v>
      </c>
      <c r="U310" s="61">
        <v>144920</v>
      </c>
      <c r="V310" s="61">
        <v>27973</v>
      </c>
    </row>
    <row r="311" spans="1:22">
      <c r="A311" s="61">
        <v>5054</v>
      </c>
      <c r="B311" t="s">
        <v>490</v>
      </c>
      <c r="C311" s="61">
        <v>3.279586136341095E-2</v>
      </c>
      <c r="D311" s="61">
        <v>0.16391606628894806</v>
      </c>
      <c r="E311" s="61">
        <v>0.29503774642944336</v>
      </c>
      <c r="F311" s="61">
        <v>0.93439340591430664</v>
      </c>
      <c r="G311" s="61">
        <v>4.2823400348424911E-2</v>
      </c>
      <c r="H311" s="61">
        <v>1633973</v>
      </c>
      <c r="I311" s="61">
        <v>993240</v>
      </c>
      <c r="J311" s="61">
        <v>31578</v>
      </c>
      <c r="K311" s="61">
        <v>742209</v>
      </c>
      <c r="L311" s="61">
        <v>0</v>
      </c>
      <c r="M311" s="61">
        <v>1016201</v>
      </c>
      <c r="N311" s="61">
        <v>228902</v>
      </c>
      <c r="O311" s="61">
        <v>429</v>
      </c>
      <c r="P311" s="61">
        <v>0.70245850086212158</v>
      </c>
      <c r="Q311" s="61">
        <v>4998</v>
      </c>
      <c r="R311" s="61">
        <v>978046</v>
      </c>
      <c r="S311" s="61">
        <v>24730</v>
      </c>
      <c r="T311" s="61">
        <v>53180</v>
      </c>
      <c r="U311" s="61">
        <v>83060</v>
      </c>
      <c r="V311" s="61">
        <v>84404</v>
      </c>
    </row>
    <row r="312" spans="1:22">
      <c r="A312" s="61">
        <v>5055</v>
      </c>
      <c r="B312" t="s">
        <v>491</v>
      </c>
      <c r="C312" s="61">
        <v>3.0091438442468643E-2</v>
      </c>
      <c r="D312" s="61">
        <v>0.11476892232894897</v>
      </c>
      <c r="E312" s="61">
        <v>0.29814866185188293</v>
      </c>
      <c r="F312" s="61">
        <v>0.95221340656280518</v>
      </c>
      <c r="G312" s="61">
        <v>3.6226492375135422E-2</v>
      </c>
      <c r="H312" s="61">
        <v>608388</v>
      </c>
      <c r="I312" s="61">
        <v>604470</v>
      </c>
      <c r="J312" s="61">
        <v>14299</v>
      </c>
      <c r="K312" s="61">
        <v>339744</v>
      </c>
      <c r="L312" s="61">
        <v>0</v>
      </c>
      <c r="M312" s="61">
        <v>363496</v>
      </c>
      <c r="N312" s="61">
        <v>156371</v>
      </c>
      <c r="O312" s="61">
        <v>2564</v>
      </c>
      <c r="P312" s="61">
        <v>0.81151270866394043</v>
      </c>
      <c r="Q312" s="61">
        <v>25479</v>
      </c>
      <c r="R312" s="61">
        <v>603126</v>
      </c>
      <c r="S312" s="61">
        <v>9300</v>
      </c>
      <c r="T312" s="61">
        <v>19604</v>
      </c>
      <c r="U312" s="61">
        <v>176926</v>
      </c>
      <c r="V312" s="61">
        <v>56234</v>
      </c>
    </row>
    <row r="313" spans="1:22">
      <c r="A313" s="61">
        <v>5056</v>
      </c>
      <c r="B313" t="s">
        <v>492</v>
      </c>
      <c r="C313" s="61">
        <v>3.8644108921289444E-2</v>
      </c>
      <c r="D313" s="61">
        <v>0.24218805134296417</v>
      </c>
      <c r="E313" s="61">
        <v>0.20689325034618378</v>
      </c>
      <c r="F313" s="61">
        <v>0.86968713998794556</v>
      </c>
      <c r="G313" s="61">
        <v>2.2622199729084969E-2</v>
      </c>
      <c r="H313" s="61">
        <v>864819</v>
      </c>
      <c r="I313" s="61">
        <v>566722</v>
      </c>
      <c r="J313" s="61">
        <v>9463</v>
      </c>
      <c r="K313" s="61">
        <v>387293</v>
      </c>
      <c r="L313" s="61">
        <v>0</v>
      </c>
      <c r="M313" s="61">
        <v>477394</v>
      </c>
      <c r="N313" s="61">
        <v>145800</v>
      </c>
      <c r="O313" s="61">
        <v>0</v>
      </c>
      <c r="P313" s="61">
        <v>0.89344960451126099</v>
      </c>
      <c r="Q313" s="61">
        <v>102342</v>
      </c>
      <c r="R313" s="61">
        <v>488740</v>
      </c>
      <c r="S313" s="61">
        <v>17261</v>
      </c>
      <c r="T313" s="61">
        <v>30594</v>
      </c>
      <c r="U313" s="61">
        <v>84249</v>
      </c>
      <c r="V313" s="61">
        <v>7275</v>
      </c>
    </row>
    <row r="314" spans="1:22">
      <c r="A314" s="61">
        <v>5057</v>
      </c>
      <c r="B314" t="s">
        <v>493</v>
      </c>
      <c r="C314" s="61">
        <v>3.5222657024860382E-2</v>
      </c>
      <c r="D314" s="61">
        <v>0.24073590338230133</v>
      </c>
      <c r="E314" s="61">
        <v>0.26784706115722656</v>
      </c>
      <c r="F314" s="61">
        <v>0.88475823402404785</v>
      </c>
      <c r="G314" s="61">
        <v>4.1089460253715515E-2</v>
      </c>
      <c r="H314" s="61">
        <v>1969243</v>
      </c>
      <c r="I314" s="61">
        <v>970700</v>
      </c>
      <c r="J314" s="61">
        <v>24261</v>
      </c>
      <c r="K314" s="61">
        <v>652604</v>
      </c>
      <c r="L314" s="61">
        <v>0</v>
      </c>
      <c r="M314" s="61">
        <v>1433733</v>
      </c>
      <c r="N314" s="61">
        <v>254501</v>
      </c>
      <c r="O314" s="61">
        <v>0</v>
      </c>
      <c r="P314" s="61">
        <v>0.76293486356735229</v>
      </c>
      <c r="Q314" s="61">
        <v>99555</v>
      </c>
      <c r="R314" s="61">
        <v>876725</v>
      </c>
      <c r="S314" s="61">
        <v>38406</v>
      </c>
      <c r="T314" s="61">
        <v>61387</v>
      </c>
      <c r="U314" s="61">
        <v>363776</v>
      </c>
      <c r="V314" s="61">
        <v>75070</v>
      </c>
    </row>
    <row r="315" spans="1:22">
      <c r="A315" s="61">
        <v>5058</v>
      </c>
      <c r="B315" t="s">
        <v>494</v>
      </c>
      <c r="C315" s="61">
        <v>4.1597623378038406E-2</v>
      </c>
      <c r="D315" s="61">
        <v>0.19184571504592896</v>
      </c>
      <c r="E315" s="61">
        <v>0.29499483108520508</v>
      </c>
      <c r="F315" s="61">
        <v>0.87164473533630371</v>
      </c>
      <c r="G315" s="61">
        <v>3.0793603509664536E-2</v>
      </c>
      <c r="H315" s="61">
        <v>828579</v>
      </c>
      <c r="I315" s="61">
        <v>558579</v>
      </c>
      <c r="J315" s="61">
        <v>14458</v>
      </c>
      <c r="K315" s="61">
        <v>482363</v>
      </c>
      <c r="L315" s="61">
        <v>0</v>
      </c>
      <c r="M315" s="61">
        <v>537620</v>
      </c>
      <c r="N315" s="61">
        <v>115391</v>
      </c>
      <c r="O315" s="61">
        <v>209</v>
      </c>
      <c r="P315" s="61">
        <v>0.83276230096817017</v>
      </c>
      <c r="Q315" s="61">
        <v>109660</v>
      </c>
      <c r="R315" s="61">
        <v>499085</v>
      </c>
      <c r="S315" s="61">
        <v>12015</v>
      </c>
      <c r="T315" s="61">
        <v>25807</v>
      </c>
      <c r="U315" s="61">
        <v>238354</v>
      </c>
      <c r="V315" s="61">
        <v>45878</v>
      </c>
    </row>
    <row r="316" spans="1:22">
      <c r="A316" s="61">
        <v>5059</v>
      </c>
      <c r="B316" t="s">
        <v>495</v>
      </c>
      <c r="C316" s="61">
        <v>3.8223382085561752E-2</v>
      </c>
      <c r="D316" s="61">
        <v>0.18031108379364014</v>
      </c>
      <c r="E316" s="61">
        <v>0.28024017810821533</v>
      </c>
      <c r="F316" s="61">
        <v>0.90785092115402222</v>
      </c>
      <c r="G316" s="61">
        <v>3.9106260985136032E-2</v>
      </c>
      <c r="H316" s="61">
        <v>2197589</v>
      </c>
      <c r="I316" s="61">
        <v>1685337</v>
      </c>
      <c r="J316" s="61">
        <v>48922</v>
      </c>
      <c r="K316" s="61">
        <v>1203495</v>
      </c>
      <c r="L316" s="61">
        <v>0</v>
      </c>
      <c r="M316" s="61">
        <v>1328866</v>
      </c>
      <c r="N316" s="61">
        <v>444295</v>
      </c>
      <c r="O316" s="61">
        <v>1856</v>
      </c>
      <c r="P316" s="61">
        <v>0.75474190711975098</v>
      </c>
      <c r="Q316" s="61">
        <v>309352</v>
      </c>
      <c r="R316" s="61">
        <v>1516687</v>
      </c>
      <c r="S316" s="61">
        <v>35550</v>
      </c>
      <c r="T316" s="61">
        <v>71366</v>
      </c>
      <c r="U316" s="61">
        <v>417714</v>
      </c>
      <c r="V316" s="61">
        <v>130867</v>
      </c>
    </row>
    <row r="317" spans="1:22">
      <c r="A317" s="61">
        <v>5060</v>
      </c>
      <c r="B317" t="s">
        <v>496</v>
      </c>
      <c r="C317" s="61">
        <v>3.773750364780426E-2</v>
      </c>
      <c r="D317" s="61">
        <v>0.17069144546985626</v>
      </c>
      <c r="E317" s="61">
        <v>0.31651803851127625</v>
      </c>
      <c r="F317" s="61">
        <v>0.88826942443847656</v>
      </c>
      <c r="G317" s="61">
        <v>1.1791578494012356E-2</v>
      </c>
      <c r="H317" s="61">
        <v>1386633</v>
      </c>
      <c r="I317" s="61">
        <v>1109314</v>
      </c>
      <c r="J317" s="61">
        <v>9701</v>
      </c>
      <c r="K317" s="61">
        <v>694970</v>
      </c>
      <c r="L317" s="61">
        <v>0</v>
      </c>
      <c r="M317" s="61">
        <v>1324764</v>
      </c>
      <c r="N317" s="61">
        <v>278061</v>
      </c>
      <c r="O317" s="61">
        <v>32</v>
      </c>
      <c r="P317" s="61">
        <v>0.89419758319854736</v>
      </c>
      <c r="Q317" s="61">
        <v>250100</v>
      </c>
      <c r="R317" s="61">
        <v>996404</v>
      </c>
      <c r="S317" s="61">
        <v>26705</v>
      </c>
      <c r="T317" s="61">
        <v>46003</v>
      </c>
      <c r="U317" s="61">
        <v>455555</v>
      </c>
      <c r="V317" s="61">
        <v>101885</v>
      </c>
    </row>
    <row r="318" spans="1:22">
      <c r="A318" s="61">
        <v>5061</v>
      </c>
      <c r="B318" t="s">
        <v>497</v>
      </c>
      <c r="C318" s="61">
        <v>5.2920855581760406E-2</v>
      </c>
      <c r="D318" s="61">
        <v>0.12116146832704544</v>
      </c>
      <c r="E318" s="61">
        <v>0.26453882455825806</v>
      </c>
      <c r="F318" s="61">
        <v>0.93454545736312866</v>
      </c>
      <c r="G318" s="61">
        <v>3.0173091217875481E-2</v>
      </c>
      <c r="H318" s="61">
        <v>163261</v>
      </c>
      <c r="I318" s="61">
        <v>219178</v>
      </c>
      <c r="J318" s="61">
        <v>2643</v>
      </c>
      <c r="K318" s="61">
        <v>78351</v>
      </c>
      <c r="L318" s="61">
        <v>0</v>
      </c>
      <c r="M318" s="61">
        <v>110778</v>
      </c>
      <c r="N318" s="61">
        <v>44995</v>
      </c>
      <c r="O318" s="61">
        <v>5174</v>
      </c>
      <c r="P318" s="61">
        <v>0.69516390562057495</v>
      </c>
      <c r="Q318" s="61">
        <v>24627</v>
      </c>
      <c r="R318" s="61">
        <v>207648</v>
      </c>
      <c r="S318" s="61">
        <v>2576</v>
      </c>
      <c r="T318" s="61">
        <v>8502</v>
      </c>
      <c r="U318" s="61">
        <v>14408</v>
      </c>
      <c r="V318" s="61">
        <v>6839</v>
      </c>
    </row>
    <row r="319" spans="1:22">
      <c r="A319" s="61">
        <v>5401</v>
      </c>
      <c r="B319" t="s">
        <v>498</v>
      </c>
      <c r="C319" s="61">
        <v>3.273455798625946E-2</v>
      </c>
      <c r="D319" s="61">
        <v>0.15770737826824188</v>
      </c>
      <c r="E319" s="61">
        <v>0.25948703289031982</v>
      </c>
      <c r="F319" s="61">
        <v>0.92416948080062866</v>
      </c>
      <c r="G319" s="61">
        <v>2.8635568916797638E-2</v>
      </c>
      <c r="H319" s="61">
        <v>8490766</v>
      </c>
      <c r="I319" s="61">
        <v>6427935</v>
      </c>
      <c r="J319" s="61">
        <v>92172</v>
      </c>
      <c r="K319" s="61">
        <v>2578858</v>
      </c>
      <c r="L319" s="61">
        <v>0</v>
      </c>
      <c r="M319" s="61">
        <v>6175056</v>
      </c>
      <c r="N319" s="61">
        <v>2351740</v>
      </c>
      <c r="O319" s="61">
        <v>14</v>
      </c>
      <c r="P319" s="61">
        <v>0.9454730749130249</v>
      </c>
      <c r="Q319" s="61">
        <v>26339</v>
      </c>
      <c r="R319" s="61">
        <v>5959541</v>
      </c>
      <c r="S319" s="61">
        <v>165229</v>
      </c>
      <c r="T319" s="61">
        <v>281622</v>
      </c>
      <c r="U319" s="61">
        <v>931761</v>
      </c>
      <c r="V319" s="61">
        <v>218470</v>
      </c>
    </row>
    <row r="320" spans="1:22">
      <c r="A320" s="61">
        <v>5402</v>
      </c>
      <c r="B320" t="s">
        <v>499</v>
      </c>
      <c r="C320" s="61">
        <v>3.5447355359792709E-2</v>
      </c>
      <c r="D320" s="61">
        <v>0.16625949740409851</v>
      </c>
      <c r="E320" s="61">
        <v>0.29158145189285278</v>
      </c>
      <c r="F320" s="61">
        <v>0.90433084964752197</v>
      </c>
      <c r="G320" s="61">
        <v>2.6675604283809662E-2</v>
      </c>
      <c r="H320" s="61">
        <v>2945231</v>
      </c>
      <c r="I320" s="61">
        <v>2329465</v>
      </c>
      <c r="J320" s="61">
        <v>27658</v>
      </c>
      <c r="K320" s="61">
        <v>1316255</v>
      </c>
      <c r="L320" s="61">
        <v>0</v>
      </c>
      <c r="M320" s="61">
        <v>1970278</v>
      </c>
      <c r="N320" s="61">
        <v>665391</v>
      </c>
      <c r="O320" s="61">
        <v>78</v>
      </c>
      <c r="P320" s="61">
        <v>0.83354902267456055</v>
      </c>
      <c r="Q320" s="61">
        <v>272187</v>
      </c>
      <c r="R320" s="61">
        <v>2169304</v>
      </c>
      <c r="S320" s="61">
        <v>62031</v>
      </c>
      <c r="T320" s="61">
        <v>104534</v>
      </c>
      <c r="U320" s="61">
        <v>493388</v>
      </c>
      <c r="V320" s="61">
        <v>114931</v>
      </c>
    </row>
    <row r="321" spans="1:22">
      <c r="A321" s="61">
        <v>5403</v>
      </c>
      <c r="B321" t="s">
        <v>500</v>
      </c>
      <c r="C321" s="61">
        <v>3.4459903836250305E-2</v>
      </c>
      <c r="D321" s="61">
        <v>0.15593022108078003</v>
      </c>
      <c r="E321" s="61">
        <v>0.28271046280860901</v>
      </c>
      <c r="F321" s="61">
        <v>0.93340557813644409</v>
      </c>
      <c r="G321" s="61">
        <v>1.9853601232171059E-2</v>
      </c>
      <c r="H321" s="61">
        <v>2802768</v>
      </c>
      <c r="I321" s="61">
        <v>2145369</v>
      </c>
      <c r="J321" s="61">
        <v>14864</v>
      </c>
      <c r="K321" s="61">
        <v>959053</v>
      </c>
      <c r="L321" s="61">
        <v>0</v>
      </c>
      <c r="M321" s="61">
        <v>1985164</v>
      </c>
      <c r="N321" s="61">
        <v>557939</v>
      </c>
      <c r="O321" s="61">
        <v>6931</v>
      </c>
      <c r="P321" s="61">
        <v>0.83053326606750488</v>
      </c>
      <c r="Q321" s="61">
        <v>43421</v>
      </c>
      <c r="R321" s="61">
        <v>2013936</v>
      </c>
      <c r="S321" s="61">
        <v>65319</v>
      </c>
      <c r="T321" s="61">
        <v>88019</v>
      </c>
      <c r="U321" s="61">
        <v>367131</v>
      </c>
      <c r="V321" s="61">
        <v>70947</v>
      </c>
    </row>
    <row r="322" spans="1:22">
      <c r="A322" s="61">
        <v>5404</v>
      </c>
      <c r="B322" t="s">
        <v>501</v>
      </c>
      <c r="C322" s="61">
        <v>4.8782866448163986E-2</v>
      </c>
      <c r="D322" s="61">
        <v>0.18037456274032593</v>
      </c>
      <c r="E322" s="61">
        <v>0.2894609272480011</v>
      </c>
      <c r="F322" s="61">
        <v>0.86776113510131836</v>
      </c>
      <c r="G322" s="61">
        <v>5.5477939546108246E-2</v>
      </c>
      <c r="H322" s="61">
        <v>286912</v>
      </c>
      <c r="I322" s="61">
        <v>231552</v>
      </c>
      <c r="J322" s="61">
        <v>6964</v>
      </c>
      <c r="K322" s="61">
        <v>100287</v>
      </c>
      <c r="L322" s="61">
        <v>0</v>
      </c>
      <c r="M322" s="61">
        <v>222845</v>
      </c>
      <c r="N322" s="61">
        <v>45266</v>
      </c>
      <c r="O322" s="61">
        <v>0</v>
      </c>
      <c r="P322" s="61">
        <v>0.69038915634155273</v>
      </c>
      <c r="Q322" s="61">
        <v>65448</v>
      </c>
      <c r="R322" s="61">
        <v>196840</v>
      </c>
      <c r="S322" s="61">
        <v>4330</v>
      </c>
      <c r="T322" s="61">
        <v>15000</v>
      </c>
      <c r="U322" s="61">
        <v>29103</v>
      </c>
      <c r="V322" s="61">
        <v>1382</v>
      </c>
    </row>
    <row r="323" spans="1:22">
      <c r="A323" s="61">
        <v>5405</v>
      </c>
      <c r="B323" t="s">
        <v>502</v>
      </c>
      <c r="C323" s="61">
        <v>3.0380936339497566E-2</v>
      </c>
      <c r="D323" s="61">
        <v>0.16736114025115967</v>
      </c>
      <c r="E323" s="61">
        <v>0.26775464415550232</v>
      </c>
      <c r="F323" s="61">
        <v>0.88619351387023926</v>
      </c>
      <c r="G323" s="61">
        <v>3.4254103899002075E-2</v>
      </c>
      <c r="H323" s="61">
        <v>1141559</v>
      </c>
      <c r="I323" s="61">
        <v>609423</v>
      </c>
      <c r="J323" s="61">
        <v>15945</v>
      </c>
      <c r="K323" s="61">
        <v>399887</v>
      </c>
      <c r="L323" s="61">
        <v>0</v>
      </c>
      <c r="M323" s="61">
        <v>946495</v>
      </c>
      <c r="N323" s="61">
        <v>150625</v>
      </c>
      <c r="O323" s="61">
        <v>0</v>
      </c>
      <c r="P323" s="61">
        <v>0.80532735586166382</v>
      </c>
      <c r="Q323" s="61">
        <v>35762</v>
      </c>
      <c r="R323" s="61">
        <v>554996</v>
      </c>
      <c r="S323" s="61">
        <v>31190</v>
      </c>
      <c r="T323" s="61">
        <v>34022</v>
      </c>
      <c r="U323" s="61">
        <v>108455</v>
      </c>
      <c r="V323" s="61">
        <v>40102</v>
      </c>
    </row>
    <row r="324" spans="1:22">
      <c r="A324" s="61">
        <v>5406</v>
      </c>
      <c r="B324" t="s">
        <v>503</v>
      </c>
      <c r="C324" s="61">
        <v>3.0100565403699875E-2</v>
      </c>
      <c r="D324" s="61">
        <v>0.22593587636947632</v>
      </c>
      <c r="E324" s="61">
        <v>0.2673012912273407</v>
      </c>
      <c r="F324" s="61">
        <v>0.88018220663070679</v>
      </c>
      <c r="G324" s="61">
        <v>1.3445711694657803E-2</v>
      </c>
      <c r="H324" s="61">
        <v>2582052</v>
      </c>
      <c r="I324" s="61">
        <v>1563893</v>
      </c>
      <c r="J324" s="61">
        <v>8070</v>
      </c>
      <c r="K324" s="61">
        <v>921183</v>
      </c>
      <c r="L324" s="61">
        <v>0</v>
      </c>
      <c r="M324" s="61">
        <v>2305170</v>
      </c>
      <c r="N324" s="61">
        <v>331008</v>
      </c>
      <c r="O324" s="61">
        <v>0</v>
      </c>
      <c r="P324" s="61">
        <v>0.89477282762527466</v>
      </c>
      <c r="Q324" s="61">
        <v>134664</v>
      </c>
      <c r="R324" s="61">
        <v>1400530</v>
      </c>
      <c r="S324" s="61">
        <v>36057</v>
      </c>
      <c r="T324" s="61">
        <v>76894</v>
      </c>
      <c r="U324" s="61">
        <v>281118</v>
      </c>
      <c r="V324" s="61">
        <v>35647</v>
      </c>
    </row>
    <row r="325" spans="1:22">
      <c r="A325" s="61">
        <v>5411</v>
      </c>
      <c r="B325" t="s">
        <v>504</v>
      </c>
      <c r="C325" s="61">
        <v>3.094930574297905E-2</v>
      </c>
      <c r="D325" s="61">
        <v>5.7699508965015411E-2</v>
      </c>
      <c r="E325" s="61">
        <v>0.19342866539955139</v>
      </c>
      <c r="F325" s="61">
        <v>0.93053847551345825</v>
      </c>
      <c r="G325" s="61">
        <v>2.8901178389787674E-2</v>
      </c>
      <c r="H325" s="61">
        <v>319916</v>
      </c>
      <c r="I325" s="61">
        <v>434216</v>
      </c>
      <c r="J325" s="61">
        <v>4394</v>
      </c>
      <c r="K325" s="61">
        <v>200403</v>
      </c>
      <c r="L325" s="61">
        <v>0</v>
      </c>
      <c r="M325" s="61">
        <v>203685</v>
      </c>
      <c r="N325" s="61">
        <v>61754</v>
      </c>
      <c r="O325" s="61">
        <v>0</v>
      </c>
      <c r="P325" s="61">
        <v>0.67313724756240845</v>
      </c>
      <c r="Q325" s="61">
        <v>81428</v>
      </c>
      <c r="R325" s="61">
        <v>398403</v>
      </c>
      <c r="S325" s="61">
        <v>3630</v>
      </c>
      <c r="T325" s="61">
        <v>8411</v>
      </c>
      <c r="U325" s="61">
        <v>54298</v>
      </c>
      <c r="V325" s="61">
        <v>10355</v>
      </c>
    </row>
    <row r="326" spans="1:22">
      <c r="A326" s="61">
        <v>5412</v>
      </c>
      <c r="B326" t="s">
        <v>505</v>
      </c>
      <c r="C326" s="61">
        <v>3.5653851926326752E-2</v>
      </c>
      <c r="D326" s="61">
        <v>0.14261871576309204</v>
      </c>
      <c r="E326" s="61">
        <v>0.28828439116477966</v>
      </c>
      <c r="F326" s="61">
        <v>0.93116974830627441</v>
      </c>
      <c r="G326" s="61">
        <v>3.2971303910017014E-2</v>
      </c>
      <c r="H326" s="61">
        <v>592755</v>
      </c>
      <c r="I326" s="61">
        <v>463312</v>
      </c>
      <c r="J326" s="61">
        <v>6016</v>
      </c>
      <c r="K326" s="61">
        <v>197609</v>
      </c>
      <c r="L326" s="61">
        <v>0</v>
      </c>
      <c r="M326" s="61">
        <v>439796</v>
      </c>
      <c r="N326" s="61">
        <v>101444</v>
      </c>
      <c r="O326" s="61">
        <v>490</v>
      </c>
      <c r="P326" s="61">
        <v>0.74461138248443604</v>
      </c>
      <c r="Q326" s="61">
        <v>32728</v>
      </c>
      <c r="R326" s="61">
        <v>454192</v>
      </c>
      <c r="S326" s="61">
        <v>8834</v>
      </c>
      <c r="T326" s="61">
        <v>19595</v>
      </c>
      <c r="U326" s="61">
        <v>127131</v>
      </c>
      <c r="V326" s="61">
        <v>49357</v>
      </c>
    </row>
    <row r="327" spans="1:22">
      <c r="A327" s="61">
        <v>5413</v>
      </c>
      <c r="B327" t="s">
        <v>506</v>
      </c>
      <c r="C327" s="61">
        <v>3.0278125777840614E-2</v>
      </c>
      <c r="D327" s="61">
        <v>0.17701911926269531</v>
      </c>
      <c r="E327" s="61">
        <v>0.30242592096328735</v>
      </c>
      <c r="F327" s="61">
        <v>0.90095454454421997</v>
      </c>
      <c r="G327" s="61">
        <v>3.3758770674467087E-2</v>
      </c>
      <c r="H327" s="61">
        <v>305766</v>
      </c>
      <c r="I327" s="61">
        <v>191506</v>
      </c>
      <c r="J327" s="61">
        <v>2825</v>
      </c>
      <c r="K327" s="61">
        <v>130265</v>
      </c>
      <c r="L327" s="61">
        <v>0</v>
      </c>
      <c r="M327" s="61">
        <v>273690</v>
      </c>
      <c r="N327" s="61">
        <v>34850</v>
      </c>
      <c r="O327" s="61">
        <v>20</v>
      </c>
      <c r="P327" s="61">
        <v>0.79240745306015015</v>
      </c>
      <c r="Q327" s="61">
        <v>19843</v>
      </c>
      <c r="R327" s="61">
        <v>169939</v>
      </c>
      <c r="S327" s="61">
        <v>3878</v>
      </c>
      <c r="T327" s="61">
        <v>6963</v>
      </c>
      <c r="U327" s="61">
        <v>106041</v>
      </c>
      <c r="V327" s="61">
        <v>29098</v>
      </c>
    </row>
    <row r="328" spans="1:22">
      <c r="A328" s="61">
        <v>5414</v>
      </c>
      <c r="B328" t="s">
        <v>507</v>
      </c>
      <c r="C328" s="61">
        <v>5.8087434619665146E-2</v>
      </c>
      <c r="D328" s="61">
        <v>0.11432283371686935</v>
      </c>
      <c r="E328" s="61">
        <v>0.39916962385177612</v>
      </c>
      <c r="F328" s="61">
        <v>0.92147362232208252</v>
      </c>
      <c r="G328" s="61">
        <v>4.4454865157604218E-2</v>
      </c>
      <c r="H328" s="61">
        <v>141995</v>
      </c>
      <c r="I328" s="61">
        <v>162383</v>
      </c>
      <c r="J328" s="61">
        <v>2844</v>
      </c>
      <c r="K328" s="61">
        <v>96991</v>
      </c>
      <c r="L328" s="61">
        <v>0</v>
      </c>
      <c r="M328" s="61">
        <v>90803</v>
      </c>
      <c r="N328" s="61">
        <v>28544</v>
      </c>
      <c r="O328" s="61">
        <v>21</v>
      </c>
      <c r="P328" s="61">
        <v>0.80964380502700806</v>
      </c>
      <c r="Q328" s="61">
        <v>22040</v>
      </c>
      <c r="R328" s="61">
        <v>139510</v>
      </c>
      <c r="S328" s="61">
        <v>2199</v>
      </c>
      <c r="T328" s="61">
        <v>7195</v>
      </c>
      <c r="U328" s="61">
        <v>17119</v>
      </c>
      <c r="V328" s="61">
        <v>11643</v>
      </c>
    </row>
    <row r="329" spans="1:22">
      <c r="A329" s="61">
        <v>5415</v>
      </c>
      <c r="B329" t="s">
        <v>535</v>
      </c>
      <c r="C329" s="61">
        <v>4.3265420943498611E-2</v>
      </c>
      <c r="D329" s="61">
        <v>0.14877001941204071</v>
      </c>
      <c r="E329" s="61">
        <v>0.34571093320846558</v>
      </c>
      <c r="F329" s="61">
        <v>0.93258786201477051</v>
      </c>
      <c r="G329" s="61">
        <v>1.4383901841938496E-2</v>
      </c>
      <c r="H329" s="61">
        <v>130265</v>
      </c>
      <c r="I329" s="61">
        <v>155033</v>
      </c>
      <c r="J329" s="61">
        <v>886</v>
      </c>
      <c r="K329" s="61">
        <v>70912</v>
      </c>
      <c r="L329" s="61">
        <v>0</v>
      </c>
      <c r="M329" s="61">
        <v>87797</v>
      </c>
      <c r="N329" s="61">
        <v>22132</v>
      </c>
      <c r="O329" s="61">
        <v>0</v>
      </c>
      <c r="P329" s="61">
        <v>0.66237515211105347</v>
      </c>
      <c r="Q329" s="61">
        <v>10324</v>
      </c>
      <c r="R329" s="61">
        <v>146758</v>
      </c>
      <c r="S329" s="61">
        <v>2150</v>
      </c>
      <c r="T329" s="61">
        <v>5842</v>
      </c>
      <c r="U329" s="61">
        <v>17653</v>
      </c>
      <c r="V329" s="61">
        <v>4453</v>
      </c>
    </row>
    <row r="330" spans="1:22">
      <c r="A330" s="61">
        <v>5416</v>
      </c>
      <c r="B330" t="s">
        <v>508</v>
      </c>
      <c r="C330" s="61">
        <v>4.8712052404880524E-2</v>
      </c>
      <c r="D330" s="61">
        <v>0.1477675586938858</v>
      </c>
      <c r="E330" s="61">
        <v>0.20566883683204651</v>
      </c>
      <c r="F330" s="61">
        <v>0.94539403915405273</v>
      </c>
      <c r="G330" s="61">
        <v>1.0202129371464252E-2</v>
      </c>
      <c r="H330" s="61">
        <v>553988</v>
      </c>
      <c r="I330" s="61">
        <v>490200</v>
      </c>
      <c r="J330" s="61">
        <v>1161</v>
      </c>
      <c r="K330" s="61">
        <v>139191</v>
      </c>
      <c r="L330" s="61">
        <v>0</v>
      </c>
      <c r="M330" s="61">
        <v>435108</v>
      </c>
      <c r="N330" s="61">
        <v>109570</v>
      </c>
      <c r="O330" s="61">
        <v>17066</v>
      </c>
      <c r="P330" s="61">
        <v>0.84662884473800659</v>
      </c>
      <c r="Q330" s="61">
        <v>12938</v>
      </c>
      <c r="R330" s="61">
        <v>461458</v>
      </c>
      <c r="S330" s="61">
        <v>7367</v>
      </c>
      <c r="T330" s="61">
        <v>20034</v>
      </c>
      <c r="U330" s="61">
        <v>232423</v>
      </c>
      <c r="V330" s="61">
        <v>41779</v>
      </c>
    </row>
    <row r="331" spans="1:22">
      <c r="A331" s="61">
        <v>5417</v>
      </c>
      <c r="B331" t="s">
        <v>509</v>
      </c>
      <c r="C331" s="61">
        <v>4.0423635393381119E-2</v>
      </c>
      <c r="D331" s="61">
        <v>0.1083090752363205</v>
      </c>
      <c r="E331" s="61">
        <v>0.25134709477424622</v>
      </c>
      <c r="F331" s="61">
        <v>0.91049396991729736</v>
      </c>
      <c r="G331" s="61">
        <v>7.5426874682307243E-3</v>
      </c>
      <c r="H331" s="61">
        <v>299851</v>
      </c>
      <c r="I331" s="61">
        <v>339849</v>
      </c>
      <c r="J331" s="61">
        <v>929</v>
      </c>
      <c r="K331" s="61">
        <v>134415</v>
      </c>
      <c r="L331" s="61">
        <v>0</v>
      </c>
      <c r="M331" s="61">
        <v>235112</v>
      </c>
      <c r="N331" s="61">
        <v>56569</v>
      </c>
      <c r="O331" s="61">
        <v>0</v>
      </c>
      <c r="P331" s="61">
        <v>0.81574177742004395</v>
      </c>
      <c r="Q331" s="61">
        <v>46779</v>
      </c>
      <c r="R331" s="61">
        <v>304048</v>
      </c>
      <c r="S331" s="61">
        <v>5662</v>
      </c>
      <c r="T331" s="61">
        <v>12233</v>
      </c>
      <c r="U331" s="61">
        <v>20688</v>
      </c>
      <c r="V331" s="61">
        <v>2914</v>
      </c>
    </row>
    <row r="332" spans="1:22">
      <c r="A332" s="61">
        <v>5418</v>
      </c>
      <c r="B332" t="s">
        <v>510</v>
      </c>
      <c r="C332" s="61">
        <v>3.4974806010723114E-2</v>
      </c>
      <c r="D332" s="61">
        <v>0.1538616269826889</v>
      </c>
      <c r="E332" s="61">
        <v>0.2600867748260498</v>
      </c>
      <c r="F332" s="61">
        <v>0.94282245635986328</v>
      </c>
      <c r="G332" s="61">
        <v>1.0521981865167618E-2</v>
      </c>
      <c r="H332" s="61">
        <v>845654</v>
      </c>
      <c r="I332" s="61">
        <v>698617</v>
      </c>
      <c r="J332" s="61">
        <v>3273</v>
      </c>
      <c r="K332" s="61">
        <v>322496</v>
      </c>
      <c r="L332" s="61">
        <v>0</v>
      </c>
      <c r="M332" s="61"/>
      <c r="N332" s="61">
        <v>189439</v>
      </c>
      <c r="O332" s="61">
        <v>1471</v>
      </c>
      <c r="P332" s="61">
        <v>0.88288718461990356</v>
      </c>
      <c r="Q332" s="61">
        <v>25738</v>
      </c>
      <c r="R332" s="61">
        <v>658947</v>
      </c>
      <c r="S332" s="61">
        <v>12073</v>
      </c>
      <c r="T332" s="61">
        <v>29138</v>
      </c>
      <c r="U332" s="61">
        <v>211600</v>
      </c>
      <c r="V332" s="61">
        <v>119480</v>
      </c>
    </row>
    <row r="333" spans="1:22">
      <c r="A333" s="61">
        <v>5419</v>
      </c>
      <c r="B333" t="s">
        <v>511</v>
      </c>
      <c r="C333" s="61">
        <v>3.6821469664573669E-2</v>
      </c>
      <c r="D333" s="61">
        <v>0.10620961338281631</v>
      </c>
      <c r="E333" s="61">
        <v>0.27914851903915405</v>
      </c>
      <c r="F333" s="61">
        <v>0.93421733379364014</v>
      </c>
      <c r="G333" s="61">
        <v>2.2256731986999512E-2</v>
      </c>
      <c r="H333" s="61">
        <v>359908</v>
      </c>
      <c r="I333" s="61">
        <v>322956</v>
      </c>
      <c r="J333" s="61">
        <v>2413</v>
      </c>
      <c r="K333" s="61">
        <v>104565</v>
      </c>
      <c r="L333" s="61">
        <v>0</v>
      </c>
      <c r="M333" s="61">
        <v>208511</v>
      </c>
      <c r="N333" s="61">
        <v>88223</v>
      </c>
      <c r="O333" s="61">
        <v>10</v>
      </c>
      <c r="P333" s="61">
        <v>0.78814810514450073</v>
      </c>
      <c r="Q333" s="61">
        <v>3566</v>
      </c>
      <c r="R333" s="61">
        <v>309279</v>
      </c>
      <c r="S333" s="61">
        <v>7919</v>
      </c>
      <c r="T333" s="61">
        <v>12191</v>
      </c>
      <c r="U333" s="61">
        <v>43364</v>
      </c>
      <c r="V333" s="61">
        <v>5341</v>
      </c>
    </row>
    <row r="334" spans="1:22">
      <c r="A334" s="61">
        <v>5420</v>
      </c>
      <c r="B334" t="s">
        <v>512</v>
      </c>
      <c r="C334" s="61">
        <v>4.7472760081291199E-2</v>
      </c>
      <c r="D334" s="61">
        <v>0.16593234241008759</v>
      </c>
      <c r="E334" s="61">
        <v>0.29866942763328552</v>
      </c>
      <c r="F334" s="61">
        <v>0.93223029375076294</v>
      </c>
      <c r="G334" s="61">
        <v>7.6241521164774895E-3</v>
      </c>
      <c r="H334" s="61">
        <v>183740</v>
      </c>
      <c r="I334" s="61">
        <v>156218</v>
      </c>
      <c r="J334" s="61">
        <v>213</v>
      </c>
      <c r="K334" s="61">
        <v>55632</v>
      </c>
      <c r="L334" s="61">
        <v>0</v>
      </c>
      <c r="M334" s="61"/>
      <c r="N334" s="61">
        <v>24841</v>
      </c>
      <c r="O334" s="61">
        <v>0</v>
      </c>
      <c r="P334" s="61">
        <v>0.70981395244598389</v>
      </c>
      <c r="Q334" s="61">
        <v>4174</v>
      </c>
      <c r="R334" s="61">
        <v>144947</v>
      </c>
      <c r="S334" s="61">
        <v>2705</v>
      </c>
      <c r="T334" s="61">
        <v>6923</v>
      </c>
      <c r="U334" s="61">
        <v>58649</v>
      </c>
      <c r="V334" s="61">
        <v>18915</v>
      </c>
    </row>
    <row r="335" spans="1:22">
      <c r="A335" s="61">
        <v>5421</v>
      </c>
      <c r="B335" t="s">
        <v>513</v>
      </c>
      <c r="C335" s="61">
        <v>3.8084916770458221E-2</v>
      </c>
      <c r="D335" s="61">
        <v>0.13403646647930145</v>
      </c>
      <c r="E335" s="61">
        <v>0.29030612111091614</v>
      </c>
      <c r="F335" s="61">
        <v>0.93284636735916138</v>
      </c>
      <c r="G335" s="61">
        <v>1.338641345500946E-2</v>
      </c>
      <c r="H335" s="61">
        <v>2034685</v>
      </c>
      <c r="I335" s="61">
        <v>1761279</v>
      </c>
      <c r="J335" s="61">
        <v>5838</v>
      </c>
      <c r="K335" s="61">
        <v>704615</v>
      </c>
      <c r="L335" s="61">
        <v>0</v>
      </c>
      <c r="M335" s="61">
        <v>1282660</v>
      </c>
      <c r="N335" s="61">
        <v>376058</v>
      </c>
      <c r="O335" s="61">
        <v>305</v>
      </c>
      <c r="P335" s="61">
        <v>0.78361552953720093</v>
      </c>
      <c r="Q335" s="61">
        <v>91042</v>
      </c>
      <c r="R335" s="61">
        <v>1605530</v>
      </c>
      <c r="S335" s="61">
        <v>35855</v>
      </c>
      <c r="T335" s="61">
        <v>67927</v>
      </c>
      <c r="U335" s="61">
        <v>196587</v>
      </c>
      <c r="V335" s="61">
        <v>27278</v>
      </c>
    </row>
    <row r="336" spans="1:22">
      <c r="A336" s="61">
        <v>5422</v>
      </c>
      <c r="B336" t="s">
        <v>514</v>
      </c>
      <c r="C336" s="61">
        <v>3.9110429584980011E-2</v>
      </c>
      <c r="D336" s="61">
        <v>0.1223384216427803</v>
      </c>
      <c r="E336" s="61">
        <v>0.35717958211898804</v>
      </c>
      <c r="F336" s="61">
        <v>0.93138903379440308</v>
      </c>
      <c r="G336" s="61">
        <v>1.1788106523454189E-2</v>
      </c>
      <c r="H336" s="61">
        <v>487779</v>
      </c>
      <c r="I336" s="61">
        <v>552211</v>
      </c>
      <c r="J336" s="61">
        <v>2183</v>
      </c>
      <c r="K336" s="61">
        <v>283639</v>
      </c>
      <c r="L336" s="61">
        <v>0</v>
      </c>
      <c r="M336" s="61">
        <v>371901</v>
      </c>
      <c r="N336" s="61">
        <v>127465</v>
      </c>
      <c r="O336" s="61">
        <v>0</v>
      </c>
      <c r="P336" s="61">
        <v>0.70957481861114502</v>
      </c>
      <c r="Q336" s="61">
        <v>40193</v>
      </c>
      <c r="R336" s="61">
        <v>507204</v>
      </c>
      <c r="S336" s="61">
        <v>7610</v>
      </c>
      <c r="T336" s="61">
        <v>17653</v>
      </c>
      <c r="U336" s="61">
        <v>25679</v>
      </c>
      <c r="V336" s="61">
        <v>15978</v>
      </c>
    </row>
    <row r="337" spans="1:22">
      <c r="A337" s="61">
        <v>5423</v>
      </c>
      <c r="B337" t="s">
        <v>515</v>
      </c>
      <c r="C337" s="61">
        <v>4.13021519780159E-2</v>
      </c>
      <c r="D337" s="61">
        <v>0.11373712867498398</v>
      </c>
      <c r="E337" s="61">
        <v>0.42499959468841553</v>
      </c>
      <c r="F337" s="61">
        <v>0.8833625316619873</v>
      </c>
      <c r="G337" s="61">
        <v>1.2141951359808445E-2</v>
      </c>
      <c r="H337" s="61">
        <v>369841</v>
      </c>
      <c r="I337" s="61">
        <v>308870</v>
      </c>
      <c r="J337" s="61">
        <v>2473</v>
      </c>
      <c r="K337" s="61">
        <v>278880</v>
      </c>
      <c r="L337" s="61">
        <v>0</v>
      </c>
      <c r="M337" s="61">
        <v>198568</v>
      </c>
      <c r="N337" s="61">
        <v>56633</v>
      </c>
      <c r="O337" s="61">
        <v>0</v>
      </c>
      <c r="P337" s="61">
        <v>0.7966192364692688</v>
      </c>
      <c r="Q337" s="61">
        <v>82496</v>
      </c>
      <c r="R337" s="61">
        <v>261589</v>
      </c>
      <c r="S337" s="61">
        <v>5909</v>
      </c>
      <c r="T337" s="61">
        <v>13899</v>
      </c>
      <c r="U337" s="61">
        <v>10217</v>
      </c>
      <c r="V337" s="61">
        <v>3933</v>
      </c>
    </row>
    <row r="338" spans="1:22">
      <c r="A338" s="61">
        <v>5424</v>
      </c>
      <c r="B338" t="s">
        <v>516</v>
      </c>
      <c r="C338" s="61">
        <v>3.7134759128093719E-2</v>
      </c>
      <c r="D338" s="61">
        <v>0.19942288100719452</v>
      </c>
      <c r="E338" s="61">
        <v>0.26534900069236755</v>
      </c>
      <c r="F338" s="61">
        <v>0.89692550897598267</v>
      </c>
      <c r="G338" s="61">
        <v>9.8554650321602821E-3</v>
      </c>
      <c r="H338" s="61">
        <v>647615</v>
      </c>
      <c r="I338" s="61">
        <v>346654</v>
      </c>
      <c r="J338" s="61">
        <v>1927</v>
      </c>
      <c r="K338" s="61">
        <v>232119</v>
      </c>
      <c r="L338" s="61">
        <v>0</v>
      </c>
      <c r="M338" s="61">
        <v>363894</v>
      </c>
      <c r="N338" s="61">
        <v>63654</v>
      </c>
      <c r="O338" s="61">
        <v>0</v>
      </c>
      <c r="P338" s="61">
        <v>0.70502287149429321</v>
      </c>
      <c r="Q338" s="61">
        <v>23414</v>
      </c>
      <c r="R338" s="61">
        <v>315022</v>
      </c>
      <c r="S338" s="61">
        <v>10965</v>
      </c>
      <c r="T338" s="61">
        <v>22955</v>
      </c>
      <c r="U338" s="61">
        <v>32480</v>
      </c>
      <c r="V338" s="61">
        <v>10281</v>
      </c>
    </row>
    <row r="339" spans="1:22">
      <c r="A339" s="61">
        <v>5425</v>
      </c>
      <c r="B339" t="s">
        <v>536</v>
      </c>
      <c r="C339" s="61">
        <v>3.7570558488368988E-2</v>
      </c>
      <c r="D339" s="61">
        <v>0.20624932646751404</v>
      </c>
      <c r="E339" s="61">
        <v>0.33818057179450989</v>
      </c>
      <c r="F339" s="61">
        <v>0.92535090446472168</v>
      </c>
      <c r="G339" s="61">
        <v>1.2349640019237995E-2</v>
      </c>
      <c r="H339" s="61">
        <v>400891</v>
      </c>
      <c r="I339" s="61">
        <v>239459</v>
      </c>
      <c r="J339" s="61">
        <v>1570</v>
      </c>
      <c r="K339" s="61">
        <v>157956</v>
      </c>
      <c r="L339" s="61">
        <v>0</v>
      </c>
      <c r="M339" s="61">
        <v>260942</v>
      </c>
      <c r="N339" s="61">
        <v>48630</v>
      </c>
      <c r="O339" s="61">
        <v>7729</v>
      </c>
      <c r="P339" s="61">
        <v>0.82280033826828003</v>
      </c>
      <c r="Q339" s="61">
        <v>4854</v>
      </c>
      <c r="R339" s="61">
        <v>222013</v>
      </c>
      <c r="S339" s="61">
        <v>8257</v>
      </c>
      <c r="T339" s="61">
        <v>12733</v>
      </c>
      <c r="U339" s="61">
        <v>92770</v>
      </c>
      <c r="V339" s="61">
        <v>36621</v>
      </c>
    </row>
    <row r="340" spans="1:22">
      <c r="A340" s="61">
        <v>5426</v>
      </c>
      <c r="B340" t="s">
        <v>537</v>
      </c>
      <c r="C340" s="61">
        <v>3.2206010073423386E-2</v>
      </c>
      <c r="D340" s="61">
        <v>0.19488371908664703</v>
      </c>
      <c r="E340" s="61">
        <v>0.39321747422218323</v>
      </c>
      <c r="F340" s="61">
        <v>0.94918572902679443</v>
      </c>
      <c r="G340" s="61">
        <v>2.1650336682796478E-2</v>
      </c>
      <c r="H340" s="61">
        <v>371296</v>
      </c>
      <c r="I340" s="61">
        <v>257904</v>
      </c>
      <c r="J340" s="61">
        <v>3687</v>
      </c>
      <c r="K340" s="61">
        <v>146983</v>
      </c>
      <c r="L340" s="61">
        <v>7679</v>
      </c>
      <c r="M340" s="61">
        <v>242797</v>
      </c>
      <c r="N340" s="61">
        <v>46178</v>
      </c>
      <c r="O340" s="61">
        <v>2217</v>
      </c>
      <c r="P340" s="61">
        <v>0.69001561403274536</v>
      </c>
      <c r="Q340" s="61">
        <v>53</v>
      </c>
      <c r="R340" s="61">
        <v>241203</v>
      </c>
      <c r="S340" s="61">
        <v>6999</v>
      </c>
      <c r="T340" s="61">
        <v>12414</v>
      </c>
      <c r="U340" s="61">
        <v>19346</v>
      </c>
      <c r="V340" s="61">
        <v>2420</v>
      </c>
    </row>
    <row r="341" spans="1:22">
      <c r="A341" s="61">
        <v>5427</v>
      </c>
      <c r="B341" t="s">
        <v>517</v>
      </c>
      <c r="C341" s="61">
        <v>4.2945705354213715E-2</v>
      </c>
      <c r="D341" s="61">
        <v>9.5119230449199677E-2</v>
      </c>
      <c r="E341" s="61">
        <v>0.25979140400886536</v>
      </c>
      <c r="F341" s="61">
        <v>0.91354531049728394</v>
      </c>
      <c r="G341" s="61">
        <v>2.153097465634346E-2</v>
      </c>
      <c r="H341" s="61">
        <v>387420</v>
      </c>
      <c r="I341" s="61">
        <v>373818</v>
      </c>
      <c r="J341" s="61">
        <v>2998</v>
      </c>
      <c r="K341" s="61">
        <v>154441</v>
      </c>
      <c r="L341" s="61">
        <v>0</v>
      </c>
      <c r="M341" s="61">
        <v>270873</v>
      </c>
      <c r="N341" s="61">
        <v>73085</v>
      </c>
      <c r="O341" s="61">
        <v>0</v>
      </c>
      <c r="P341" s="61">
        <v>0.77269738912582397</v>
      </c>
      <c r="Q341" s="61">
        <v>66805</v>
      </c>
      <c r="R341" s="61">
        <v>336994</v>
      </c>
      <c r="S341" s="61">
        <v>6433</v>
      </c>
      <c r="T341" s="61">
        <v>15441</v>
      </c>
      <c r="U341" s="61">
        <v>52606</v>
      </c>
      <c r="V341" s="61">
        <v>4170</v>
      </c>
    </row>
    <row r="342" spans="1:22">
      <c r="A342" s="61">
        <v>5428</v>
      </c>
      <c r="B342" t="s">
        <v>518</v>
      </c>
      <c r="C342" s="61">
        <v>3.7835225462913513E-2</v>
      </c>
      <c r="D342" s="61">
        <v>0.12656019628047943</v>
      </c>
      <c r="E342" s="61">
        <v>0.22469547390937805</v>
      </c>
      <c r="F342" s="61">
        <v>0.92262643575668335</v>
      </c>
      <c r="G342" s="61">
        <v>1.8668791279196739E-2</v>
      </c>
      <c r="H342" s="61">
        <v>538632</v>
      </c>
      <c r="I342" s="61">
        <v>502381</v>
      </c>
      <c r="J342" s="61">
        <v>3928</v>
      </c>
      <c r="K342" s="61">
        <v>198705</v>
      </c>
      <c r="L342" s="61">
        <v>0</v>
      </c>
      <c r="M342" s="61">
        <v>303413</v>
      </c>
      <c r="N342" s="61">
        <v>126293</v>
      </c>
      <c r="O342" s="61">
        <v>137</v>
      </c>
      <c r="P342" s="61">
        <v>0.80400282144546509</v>
      </c>
      <c r="Q342" s="61">
        <v>22113</v>
      </c>
      <c r="R342" s="61">
        <v>472249</v>
      </c>
      <c r="S342" s="61">
        <v>9384</v>
      </c>
      <c r="T342" s="61">
        <v>19884</v>
      </c>
      <c r="U342" s="61">
        <v>76225</v>
      </c>
      <c r="V342" s="61">
        <v>18584</v>
      </c>
    </row>
    <row r="343" spans="1:22">
      <c r="A343" s="61">
        <v>5429</v>
      </c>
      <c r="B343" t="s">
        <v>519</v>
      </c>
      <c r="C343" s="61">
        <v>2.8767095878720284E-2</v>
      </c>
      <c r="D343" s="61">
        <v>0.1594812422990799</v>
      </c>
      <c r="E343" s="61">
        <v>0.27736255526542664</v>
      </c>
      <c r="F343" s="61">
        <v>0.89471167325973511</v>
      </c>
      <c r="G343" s="61">
        <v>1.8775034695863724E-2</v>
      </c>
      <c r="H343" s="61">
        <v>304467</v>
      </c>
      <c r="I343" s="61">
        <v>214765</v>
      </c>
      <c r="J343" s="61">
        <v>3388</v>
      </c>
      <c r="K343" s="61">
        <v>165879</v>
      </c>
      <c r="L343" s="61">
        <v>0</v>
      </c>
      <c r="M343" s="61">
        <v>197907</v>
      </c>
      <c r="N343" s="61">
        <v>30284</v>
      </c>
      <c r="O343" s="61">
        <v>1039</v>
      </c>
      <c r="P343" s="61">
        <v>0.78687435388565063</v>
      </c>
      <c r="Q343" s="61">
        <v>30741</v>
      </c>
      <c r="R343" s="61">
        <v>183535</v>
      </c>
      <c r="S343" s="61">
        <v>5362</v>
      </c>
      <c r="T343" s="61">
        <v>8817</v>
      </c>
      <c r="U343" s="61">
        <v>29831</v>
      </c>
      <c r="V343" s="61">
        <v>6226</v>
      </c>
    </row>
    <row r="344" spans="1:22">
      <c r="A344" s="61">
        <v>5430</v>
      </c>
      <c r="B344" t="s">
        <v>538</v>
      </c>
      <c r="C344" s="61">
        <v>3.8682356476783752E-2</v>
      </c>
      <c r="D344" s="61">
        <v>6.3619419932365417E-2</v>
      </c>
      <c r="E344" s="61">
        <v>0.30206319689750671</v>
      </c>
      <c r="F344" s="61">
        <v>0.91636359691619873</v>
      </c>
      <c r="G344" s="61">
        <v>1.9091298803687096E-2</v>
      </c>
      <c r="H344" s="61">
        <v>238259</v>
      </c>
      <c r="I344" s="61">
        <v>357140</v>
      </c>
      <c r="J344" s="61">
        <v>3627</v>
      </c>
      <c r="K344" s="61">
        <v>201766</v>
      </c>
      <c r="L344" s="61">
        <v>0</v>
      </c>
      <c r="M344" s="61">
        <v>152568</v>
      </c>
      <c r="N344" s="61">
        <v>55560</v>
      </c>
      <c r="O344" s="61">
        <v>621</v>
      </c>
      <c r="P344" s="61">
        <v>0.59084445238113403</v>
      </c>
      <c r="Q344" s="61">
        <v>51506</v>
      </c>
      <c r="R344" s="61">
        <v>326788</v>
      </c>
      <c r="S344" s="61">
        <v>3262</v>
      </c>
      <c r="T344" s="61">
        <v>8550</v>
      </c>
      <c r="U344" s="61">
        <v>17352</v>
      </c>
      <c r="V344" s="61">
        <v>2721</v>
      </c>
    </row>
    <row r="345" spans="1:22">
      <c r="A345" s="61">
        <v>5432</v>
      </c>
      <c r="B345" t="s">
        <v>520</v>
      </c>
      <c r="C345" s="61">
        <v>8.581274002790451E-2</v>
      </c>
      <c r="D345" s="61">
        <v>8.1086836755275726E-2</v>
      </c>
      <c r="E345" s="61">
        <v>0.32733514904975891</v>
      </c>
      <c r="F345" s="61">
        <v>0.8980337381362915</v>
      </c>
      <c r="G345" s="61">
        <v>1.8510518595576286E-2</v>
      </c>
      <c r="H345" s="61">
        <v>42347</v>
      </c>
      <c r="I345" s="61">
        <v>162326</v>
      </c>
      <c r="J345" s="61">
        <v>1719</v>
      </c>
      <c r="K345" s="61">
        <v>85940</v>
      </c>
      <c r="L345" s="61">
        <v>0</v>
      </c>
      <c r="M345" s="61">
        <v>-6792</v>
      </c>
      <c r="N345" s="61">
        <v>21128</v>
      </c>
      <c r="O345" s="61">
        <v>0</v>
      </c>
      <c r="P345" s="61">
        <v>0.73629075288772583</v>
      </c>
      <c r="Q345" s="61">
        <v>37571</v>
      </c>
      <c r="R345" s="61">
        <v>147277</v>
      </c>
      <c r="S345" s="61">
        <v>755</v>
      </c>
      <c r="T345" s="61">
        <v>3611</v>
      </c>
      <c r="U345" s="61">
        <v>28518</v>
      </c>
      <c r="V345" s="61">
        <v>4246</v>
      </c>
    </row>
    <row r="346" spans="1:22">
      <c r="A346" s="61">
        <v>5433</v>
      </c>
      <c r="B346" t="s">
        <v>521</v>
      </c>
      <c r="C346" s="61">
        <v>3.9770547300577164E-2</v>
      </c>
      <c r="D346" s="61">
        <v>8.9599952101707458E-2</v>
      </c>
      <c r="E346" s="61">
        <v>0.44322794675827026</v>
      </c>
      <c r="F346" s="61">
        <v>0.9499586820602417</v>
      </c>
      <c r="G346" s="61">
        <v>1.579609140753746E-2</v>
      </c>
      <c r="H346" s="61">
        <v>61402</v>
      </c>
      <c r="I346" s="61">
        <v>153739</v>
      </c>
      <c r="J346" s="61">
        <v>1002</v>
      </c>
      <c r="K346" s="61">
        <v>79049</v>
      </c>
      <c r="L346" s="61">
        <v>0</v>
      </c>
      <c r="M346" s="61">
        <v>40400</v>
      </c>
      <c r="N346" s="61">
        <v>22448</v>
      </c>
      <c r="O346" s="61">
        <v>0</v>
      </c>
      <c r="P346" s="61">
        <v>0.69121873378753662</v>
      </c>
      <c r="Q346" s="61">
        <v>38160</v>
      </c>
      <c r="R346" s="61">
        <v>150360</v>
      </c>
      <c r="S346" s="61">
        <v>974</v>
      </c>
      <c r="T346" s="61">
        <v>2489</v>
      </c>
      <c r="U346" s="61">
        <v>9424</v>
      </c>
      <c r="V346" s="61">
        <v>959</v>
      </c>
    </row>
    <row r="347" spans="1:22">
      <c r="A347" s="61">
        <v>5434</v>
      </c>
      <c r="B347" t="s">
        <v>522</v>
      </c>
      <c r="C347" s="61">
        <v>4.8696607351303101E-2</v>
      </c>
      <c r="D347" s="61">
        <v>0.1460464745759964</v>
      </c>
      <c r="E347" s="61">
        <v>0.37233817577362061</v>
      </c>
      <c r="F347" s="61">
        <v>0.88303691148757935</v>
      </c>
      <c r="G347" s="61">
        <v>9.8679075017571449E-3</v>
      </c>
      <c r="H347" s="61">
        <v>141052</v>
      </c>
      <c r="I347" s="61">
        <v>190780</v>
      </c>
      <c r="J347" s="61">
        <v>874</v>
      </c>
      <c r="K347" s="61">
        <v>119789</v>
      </c>
      <c r="L347" s="61">
        <v>0</v>
      </c>
      <c r="M347" s="61">
        <v>66371</v>
      </c>
      <c r="N347" s="61">
        <v>36856</v>
      </c>
      <c r="O347" s="61">
        <v>0</v>
      </c>
      <c r="P347" s="61">
        <v>0.9310564398765564</v>
      </c>
      <c r="Q347" s="61">
        <v>47732</v>
      </c>
      <c r="R347" s="61">
        <v>172458</v>
      </c>
      <c r="S347" s="61">
        <v>1695</v>
      </c>
      <c r="T347" s="61">
        <v>5862</v>
      </c>
      <c r="U347" s="61">
        <v>16247</v>
      </c>
      <c r="V347" s="61">
        <v>3067</v>
      </c>
    </row>
    <row r="348" spans="1:22">
      <c r="A348" s="61">
        <v>5435</v>
      </c>
      <c r="B348" t="s">
        <v>523</v>
      </c>
      <c r="C348" s="61">
        <v>4.1929427534341812E-2</v>
      </c>
      <c r="D348" s="61">
        <v>0.10535091161727905</v>
      </c>
      <c r="E348" s="61">
        <v>0.292244553565979</v>
      </c>
      <c r="F348" s="61">
        <v>0.87916719913482666</v>
      </c>
      <c r="G348" s="61">
        <v>1.3006187044084072E-2</v>
      </c>
      <c r="H348" s="61">
        <v>330818</v>
      </c>
      <c r="I348" s="61">
        <v>335236</v>
      </c>
      <c r="J348" s="61">
        <v>1455</v>
      </c>
      <c r="K348" s="61">
        <v>147539</v>
      </c>
      <c r="L348" s="61">
        <v>0</v>
      </c>
      <c r="M348" s="61">
        <v>280548</v>
      </c>
      <c r="N348" s="61">
        <v>84073</v>
      </c>
      <c r="O348" s="61">
        <v>0</v>
      </c>
      <c r="P348" s="61">
        <v>0.82280814647674561</v>
      </c>
      <c r="Q348" s="61">
        <v>59395</v>
      </c>
      <c r="R348" s="61">
        <v>291263</v>
      </c>
      <c r="S348" s="61">
        <v>12086</v>
      </c>
      <c r="T348" s="61">
        <v>14315</v>
      </c>
      <c r="U348" s="61">
        <v>33188</v>
      </c>
      <c r="V348" s="61">
        <v>7112</v>
      </c>
    </row>
    <row r="349" spans="1:22">
      <c r="A349" s="61">
        <v>5436</v>
      </c>
      <c r="B349" t="s">
        <v>539</v>
      </c>
      <c r="C349" s="61">
        <v>3.4493304789066315E-2</v>
      </c>
      <c r="D349" s="61">
        <v>7.3444366455078125E-2</v>
      </c>
      <c r="E349" s="61">
        <v>0.203521728515625</v>
      </c>
      <c r="F349" s="61">
        <v>0.95634573698043823</v>
      </c>
      <c r="G349" s="61">
        <v>1.3670100830495358E-2</v>
      </c>
      <c r="H349" s="61">
        <v>381846</v>
      </c>
      <c r="I349" s="61">
        <v>425323</v>
      </c>
      <c r="J349" s="61">
        <v>1957</v>
      </c>
      <c r="K349" s="61">
        <v>167615</v>
      </c>
      <c r="L349" s="61">
        <v>20289</v>
      </c>
      <c r="M349" s="61">
        <v>202152</v>
      </c>
      <c r="N349" s="61">
        <v>99679</v>
      </c>
      <c r="O349" s="61">
        <v>36</v>
      </c>
      <c r="P349" s="61">
        <v>0.77155125141143799</v>
      </c>
      <c r="Q349" s="61">
        <v>0</v>
      </c>
      <c r="R349" s="61">
        <v>404662</v>
      </c>
      <c r="S349" s="61">
        <v>6007</v>
      </c>
      <c r="T349" s="61">
        <v>12407</v>
      </c>
      <c r="U349" s="61">
        <v>39171</v>
      </c>
      <c r="V349" s="61">
        <v>10149</v>
      </c>
    </row>
    <row r="350" spans="1:22">
      <c r="A350" s="61">
        <v>5437</v>
      </c>
      <c r="B350" t="s">
        <v>540</v>
      </c>
      <c r="C350" s="61">
        <v>3.782818466424942E-2</v>
      </c>
      <c r="D350" s="61">
        <v>8.2076363265514374E-2</v>
      </c>
      <c r="E350" s="61">
        <v>0.33725211024284363</v>
      </c>
      <c r="F350" s="61">
        <v>0.96545308828353882</v>
      </c>
      <c r="G350" s="61">
        <v>1.4183658175170422E-2</v>
      </c>
      <c r="H350" s="61">
        <v>254707</v>
      </c>
      <c r="I350" s="61">
        <v>324137</v>
      </c>
      <c r="J350" s="61">
        <v>1498</v>
      </c>
      <c r="K350" s="61">
        <v>126870</v>
      </c>
      <c r="L350" s="61">
        <v>6174</v>
      </c>
      <c r="M350" s="61">
        <v>153012</v>
      </c>
      <c r="N350" s="61">
        <v>60131</v>
      </c>
      <c r="O350" s="61">
        <v>0</v>
      </c>
      <c r="P350" s="61">
        <v>0.70807129144668579</v>
      </c>
      <c r="Q350" s="61">
        <v>0</v>
      </c>
      <c r="R350" s="61">
        <v>300551</v>
      </c>
      <c r="S350" s="61">
        <v>4592</v>
      </c>
      <c r="T350" s="61">
        <v>9956</v>
      </c>
      <c r="U350" s="61">
        <v>37295</v>
      </c>
      <c r="V350" s="61">
        <v>6961</v>
      </c>
    </row>
    <row r="351" spans="1:22">
      <c r="A351" s="61">
        <v>5438</v>
      </c>
      <c r="B351" t="s">
        <v>524</v>
      </c>
      <c r="C351" s="61">
        <v>6.2330354005098343E-2</v>
      </c>
      <c r="D351" s="61">
        <v>0.14315721392631531</v>
      </c>
      <c r="E351" s="61">
        <v>0.31219136714935303</v>
      </c>
      <c r="F351" s="61">
        <v>0.86251252889633179</v>
      </c>
      <c r="G351" s="61">
        <v>1.9391490146517754E-2</v>
      </c>
      <c r="H351" s="61">
        <v>240468</v>
      </c>
      <c r="I351" s="61">
        <v>223194</v>
      </c>
      <c r="J351" s="61">
        <v>2323</v>
      </c>
      <c r="K351" s="61">
        <v>147371</v>
      </c>
      <c r="L351" s="61">
        <v>0</v>
      </c>
      <c r="M351" s="61">
        <v>141780</v>
      </c>
      <c r="N351" s="61">
        <v>35849</v>
      </c>
      <c r="O351" s="61">
        <v>2978</v>
      </c>
      <c r="P351" s="61">
        <v>0.85998570919036865</v>
      </c>
      <c r="Q351" s="61">
        <v>66590</v>
      </c>
      <c r="R351" s="61">
        <v>184956</v>
      </c>
      <c r="S351" s="61">
        <v>4580</v>
      </c>
      <c r="T351" s="61">
        <v>14444</v>
      </c>
      <c r="U351" s="61">
        <v>16979</v>
      </c>
      <c r="V351" s="61">
        <v>2349</v>
      </c>
    </row>
    <row r="352" spans="1:22">
      <c r="A352" s="61">
        <v>5439</v>
      </c>
      <c r="B352" t="s">
        <v>525</v>
      </c>
      <c r="C352" s="61">
        <v>3.9240628480911255E-2</v>
      </c>
      <c r="D352" s="61">
        <v>0.10915742814540863</v>
      </c>
      <c r="E352" s="61">
        <v>0.28861182928085327</v>
      </c>
      <c r="F352" s="61">
        <v>0.93025147914886475</v>
      </c>
      <c r="G352" s="61">
        <v>9.9750887602567673E-3</v>
      </c>
      <c r="H352" s="61">
        <v>179298</v>
      </c>
      <c r="I352" s="61">
        <v>145118</v>
      </c>
      <c r="J352" s="61">
        <v>503</v>
      </c>
      <c r="K352" s="61">
        <v>63578</v>
      </c>
      <c r="L352" s="61">
        <v>552</v>
      </c>
      <c r="M352" s="61"/>
      <c r="N352" s="61">
        <v>28849</v>
      </c>
      <c r="O352" s="61">
        <v>0</v>
      </c>
      <c r="P352" s="61">
        <v>0.78865712881088257</v>
      </c>
      <c r="Q352" s="61">
        <v>0</v>
      </c>
      <c r="R352" s="61">
        <v>135686</v>
      </c>
      <c r="S352" s="61">
        <v>2606</v>
      </c>
      <c r="T352" s="61">
        <v>6170</v>
      </c>
      <c r="U352" s="61">
        <v>32562</v>
      </c>
      <c r="V352" s="61">
        <v>5128</v>
      </c>
    </row>
    <row r="353" spans="1:22">
      <c r="A353" s="61">
        <v>5440</v>
      </c>
      <c r="B353" t="s">
        <v>526</v>
      </c>
      <c r="C353" s="61">
        <v>3.5390190780162811E-2</v>
      </c>
      <c r="D353" s="61">
        <v>0.21157962083816528</v>
      </c>
      <c r="E353" s="61">
        <v>0.18267470598220825</v>
      </c>
      <c r="F353" s="61">
        <v>0.92106658220291138</v>
      </c>
      <c r="G353" s="61">
        <v>3.3176165074110031E-2</v>
      </c>
      <c r="H353" s="61">
        <v>258865</v>
      </c>
      <c r="I353" s="61">
        <v>152689</v>
      </c>
      <c r="J353" s="61">
        <v>4033</v>
      </c>
      <c r="K353" s="61">
        <v>92903</v>
      </c>
      <c r="L353" s="61">
        <v>0</v>
      </c>
      <c r="M353" s="61">
        <v>308827</v>
      </c>
      <c r="N353" s="61">
        <v>25531</v>
      </c>
      <c r="O353" s="61">
        <v>118</v>
      </c>
      <c r="P353" s="61">
        <v>0.82558119297027588</v>
      </c>
      <c r="Q353" s="61">
        <v>35489</v>
      </c>
      <c r="R353" s="61">
        <v>138326</v>
      </c>
      <c r="S353" s="61">
        <v>4154</v>
      </c>
      <c r="T353" s="61">
        <v>8377</v>
      </c>
      <c r="U353" s="61">
        <v>79850</v>
      </c>
      <c r="V353" s="61">
        <v>15184</v>
      </c>
    </row>
    <row r="354" spans="1:22">
      <c r="A354" s="61">
        <v>5441</v>
      </c>
      <c r="B354" t="s">
        <v>541</v>
      </c>
      <c r="C354" s="61">
        <v>3.8413684815168381E-2</v>
      </c>
      <c r="D354" s="61">
        <v>0.16990663111209869</v>
      </c>
      <c r="E354" s="61">
        <v>0.30464726686477661</v>
      </c>
      <c r="F354" s="61">
        <v>0.91911548376083374</v>
      </c>
      <c r="G354" s="61">
        <v>4.4897768646478653E-2</v>
      </c>
      <c r="H354" s="61">
        <v>502642</v>
      </c>
      <c r="I354" s="61">
        <v>356391</v>
      </c>
      <c r="J354" s="61">
        <v>6863</v>
      </c>
      <c r="K354" s="61">
        <v>119476</v>
      </c>
      <c r="L354" s="61">
        <v>0</v>
      </c>
      <c r="M354" s="61">
        <v>399105</v>
      </c>
      <c r="N354" s="61">
        <v>74459</v>
      </c>
      <c r="O354" s="61">
        <v>14</v>
      </c>
      <c r="P354" s="61">
        <v>0.78965216875076294</v>
      </c>
      <c r="Q354" s="61">
        <v>11192</v>
      </c>
      <c r="R354" s="61">
        <v>328195</v>
      </c>
      <c r="S354" s="61">
        <v>8197</v>
      </c>
      <c r="T354" s="61">
        <v>17413</v>
      </c>
      <c r="U354" s="61">
        <v>63346</v>
      </c>
      <c r="V354" s="61">
        <v>6372</v>
      </c>
    </row>
    <row r="355" spans="1:22">
      <c r="A355" s="61">
        <v>5442</v>
      </c>
      <c r="B355" t="s">
        <v>542</v>
      </c>
      <c r="C355" s="61">
        <v>6.5158866345882416E-2</v>
      </c>
      <c r="D355" s="61">
        <v>0.16481024026870728</v>
      </c>
      <c r="E355" s="61">
        <v>0.25397065281867981</v>
      </c>
      <c r="F355" s="61">
        <v>0.8750646710395813</v>
      </c>
      <c r="G355" s="61">
        <v>3.9248149842023849E-2</v>
      </c>
      <c r="H355" s="61">
        <v>141439</v>
      </c>
      <c r="I355" s="61">
        <v>162330</v>
      </c>
      <c r="J355" s="61">
        <v>3933</v>
      </c>
      <c r="K355" s="61">
        <v>85332</v>
      </c>
      <c r="L355" s="61">
        <v>0</v>
      </c>
      <c r="M355" s="61"/>
      <c r="N355" s="61">
        <v>20286</v>
      </c>
      <c r="O355" s="61">
        <v>0</v>
      </c>
      <c r="P355" s="61">
        <v>0.67793703079223633</v>
      </c>
      <c r="Q355" s="61">
        <v>26932</v>
      </c>
      <c r="R355" s="61">
        <v>146613</v>
      </c>
      <c r="S355" s="61">
        <v>3583</v>
      </c>
      <c r="T355" s="61">
        <v>8568</v>
      </c>
      <c r="U355" s="61">
        <v>32824</v>
      </c>
      <c r="V355" s="61">
        <v>8443</v>
      </c>
    </row>
    <row r="356" spans="1:22">
      <c r="A356" s="61">
        <v>5443</v>
      </c>
      <c r="B356" t="s">
        <v>527</v>
      </c>
      <c r="C356" s="61">
        <v>4.3185129761695862E-2</v>
      </c>
      <c r="D356" s="61">
        <v>0.12540163099765778</v>
      </c>
      <c r="E356" s="61">
        <v>0.23590885102748871</v>
      </c>
      <c r="F356" s="61">
        <v>0.91883182525634766</v>
      </c>
      <c r="G356" s="61">
        <v>5.5686824023723602E-2</v>
      </c>
      <c r="H356" s="61">
        <v>284385</v>
      </c>
      <c r="I356" s="61">
        <v>252760</v>
      </c>
      <c r="J356" s="61">
        <v>7509</v>
      </c>
      <c r="K356" s="61">
        <v>119765</v>
      </c>
      <c r="L356" s="61">
        <v>0</v>
      </c>
      <c r="M356" s="61">
        <v>249190</v>
      </c>
      <c r="N356" s="61">
        <v>58016</v>
      </c>
      <c r="O356" s="61">
        <v>0</v>
      </c>
      <c r="P356" s="61">
        <v>0.8083568811416626</v>
      </c>
      <c r="Q356" s="61">
        <v>35812</v>
      </c>
      <c r="R356" s="61">
        <v>236710</v>
      </c>
      <c r="S356" s="61">
        <v>4403</v>
      </c>
      <c r="T356" s="61">
        <v>11645</v>
      </c>
      <c r="U356" s="61">
        <v>34160</v>
      </c>
      <c r="V356" s="61">
        <v>2684</v>
      </c>
    </row>
    <row r="357" spans="1:22">
      <c r="A357" s="61">
        <v>5444</v>
      </c>
      <c r="B357" t="s">
        <v>528</v>
      </c>
      <c r="C357" s="61">
        <v>3.3622261136770248E-2</v>
      </c>
      <c r="D357" s="61">
        <v>0.16238467395305634</v>
      </c>
      <c r="E357" s="61">
        <v>0.27046999335289001</v>
      </c>
      <c r="F357" s="61">
        <v>0.92743831872940063</v>
      </c>
      <c r="G357" s="61">
        <v>6.9855146110057831E-2</v>
      </c>
      <c r="H357" s="61">
        <v>1535963</v>
      </c>
      <c r="I357" s="61">
        <v>1023598</v>
      </c>
      <c r="J357" s="61">
        <v>21469</v>
      </c>
      <c r="K357" s="61">
        <v>273263</v>
      </c>
      <c r="L357" s="61">
        <v>0</v>
      </c>
      <c r="M357" s="61">
        <v>1297157</v>
      </c>
      <c r="N357" s="61">
        <v>266577</v>
      </c>
      <c r="O357" s="61">
        <v>2040</v>
      </c>
      <c r="P357" s="61">
        <v>0.81211656332015991</v>
      </c>
      <c r="Q357" s="61">
        <v>56173</v>
      </c>
      <c r="R357" s="61">
        <v>968703</v>
      </c>
      <c r="S357" s="61">
        <v>25045</v>
      </c>
      <c r="T357" s="61">
        <v>51113</v>
      </c>
      <c r="U357" s="61">
        <v>138037</v>
      </c>
      <c r="V357" s="61">
        <v>23322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76"/>
  <sheetViews>
    <sheetView tabSelected="1" zoomScaleNormal="70" workbookViewId="0">
      <selection activeCell="C6" sqref="C6"/>
    </sheetView>
  </sheetViews>
  <sheetFormatPr baseColWidth="10" defaultColWidth="0" defaultRowHeight="15" zeroHeight="1"/>
  <cols>
    <col min="1" max="1" width="25" customWidth="1"/>
    <col min="2" max="2" width="10.7109375" customWidth="1"/>
    <col min="3" max="3" width="21" bestFit="1" customWidth="1"/>
    <col min="4" max="4" width="11.7109375" customWidth="1"/>
    <col min="5" max="5" width="22" customWidth="1"/>
    <col min="6" max="6" width="13.5703125" customWidth="1"/>
    <col min="7" max="7" width="29.5703125" customWidth="1"/>
    <col min="8" max="8" width="7.28515625" customWidth="1"/>
    <col min="9" max="9" width="13.5703125" customWidth="1"/>
    <col min="10" max="10" width="45" customWidth="1"/>
    <col min="11" max="11" width="13.5703125" customWidth="1"/>
    <col min="12" max="26" width="11.5703125" customWidth="1"/>
    <col min="27" max="32" width="0" hidden="1" customWidth="1"/>
    <col min="33" max="16384" width="11.5703125" hidden="1"/>
  </cols>
  <sheetData>
    <row r="1" spans="1:26" ht="21">
      <c r="A1" s="16"/>
      <c r="B1" s="16"/>
      <c r="C1" s="16"/>
      <c r="D1" s="16"/>
      <c r="E1" s="16"/>
      <c r="F1" s="16"/>
      <c r="G1" s="16"/>
      <c r="H1" s="16"/>
      <c r="I1" s="16"/>
      <c r="J1" s="16"/>
      <c r="K1" s="16"/>
      <c r="L1" s="16"/>
      <c r="M1" s="16"/>
      <c r="N1" s="16"/>
      <c r="O1" s="16"/>
      <c r="P1" s="16"/>
      <c r="Q1" s="16"/>
      <c r="R1" s="16"/>
      <c r="S1" s="16"/>
      <c r="T1" s="16"/>
      <c r="U1" s="16"/>
      <c r="V1" s="16"/>
      <c r="W1" s="16"/>
      <c r="X1" s="16"/>
      <c r="Y1" s="16"/>
      <c r="Z1" s="16"/>
    </row>
    <row r="2" spans="1:26" ht="38.1" customHeight="1">
      <c r="A2" s="16"/>
      <c r="B2" s="16"/>
      <c r="C2" s="16"/>
      <c r="D2" s="16"/>
      <c r="E2" s="16"/>
      <c r="F2" s="16"/>
      <c r="G2" s="16"/>
      <c r="H2" s="16"/>
      <c r="I2" s="16"/>
      <c r="J2" s="16"/>
      <c r="K2" s="16"/>
      <c r="L2" s="16"/>
      <c r="M2" s="16"/>
      <c r="N2" s="16"/>
      <c r="O2" s="16"/>
      <c r="P2" s="16"/>
      <c r="Q2" s="16"/>
      <c r="R2" s="16"/>
      <c r="S2" s="16"/>
      <c r="T2" s="16"/>
      <c r="U2" s="16"/>
      <c r="V2" s="16"/>
      <c r="W2" s="16"/>
      <c r="X2" s="16"/>
      <c r="Y2" s="16"/>
      <c r="Z2" s="16"/>
    </row>
    <row r="3" spans="1:26" ht="24.6" customHeight="1">
      <c r="A3" s="16"/>
      <c r="B3" s="16"/>
      <c r="C3" s="16"/>
      <c r="D3" s="16"/>
      <c r="E3" s="16"/>
      <c r="F3" s="16"/>
      <c r="G3" s="16"/>
      <c r="H3" s="16"/>
      <c r="I3" s="16"/>
      <c r="J3" s="16"/>
      <c r="K3" s="16"/>
      <c r="L3" s="16"/>
      <c r="M3" s="16"/>
      <c r="N3" s="16"/>
      <c r="O3" s="16"/>
      <c r="P3" s="16"/>
      <c r="Q3" s="16"/>
      <c r="R3" s="16"/>
      <c r="S3" s="16"/>
      <c r="T3" s="16"/>
      <c r="U3" s="16"/>
      <c r="V3" s="16"/>
      <c r="W3" s="16"/>
      <c r="X3" s="16"/>
      <c r="Y3" s="16"/>
      <c r="Z3" s="16"/>
    </row>
    <row r="4" spans="1:26" ht="18.600000000000001" customHeight="1">
      <c r="A4" s="16"/>
      <c r="B4" s="20"/>
      <c r="C4" s="20" t="s">
        <v>55</v>
      </c>
      <c r="D4" s="20"/>
      <c r="E4" s="20"/>
      <c r="F4" s="20"/>
      <c r="G4" s="20"/>
      <c r="H4" s="20"/>
      <c r="I4" s="20"/>
      <c r="J4" s="20"/>
      <c r="K4" s="20"/>
      <c r="L4" s="20"/>
      <c r="M4" s="20"/>
      <c r="N4" s="20"/>
      <c r="O4" s="20"/>
      <c r="P4" s="20"/>
      <c r="Q4" s="20"/>
      <c r="R4" s="20"/>
      <c r="S4" s="20"/>
      <c r="T4" s="20"/>
      <c r="U4" s="20"/>
      <c r="V4" s="20"/>
      <c r="W4" s="20"/>
      <c r="X4" s="20"/>
      <c r="Y4" s="20"/>
      <c r="Z4" s="20"/>
    </row>
    <row r="5" spans="1:26" ht="14.45" customHeight="1">
      <c r="A5" s="17"/>
      <c r="B5" s="17"/>
      <c r="C5" s="17"/>
      <c r="D5" s="17"/>
      <c r="E5" s="17"/>
      <c r="F5" s="17"/>
      <c r="G5" s="17"/>
      <c r="H5" s="17"/>
      <c r="I5" s="17"/>
      <c r="J5" s="17"/>
      <c r="K5" s="17"/>
      <c r="L5" s="17"/>
      <c r="M5" s="17"/>
      <c r="N5" s="17"/>
      <c r="O5" s="17"/>
      <c r="P5" s="17"/>
      <c r="Q5" s="17"/>
      <c r="R5" s="17"/>
      <c r="S5" s="17"/>
      <c r="T5" s="17"/>
      <c r="U5" s="17"/>
      <c r="V5" s="17"/>
      <c r="W5" s="17"/>
      <c r="X5" s="17"/>
      <c r="Y5" s="17"/>
      <c r="Z5" s="17"/>
    </row>
    <row r="6" spans="1:26" ht="18.75">
      <c r="A6" s="19" t="s">
        <v>54</v>
      </c>
      <c r="B6" s="17"/>
      <c r="C6" s="77"/>
      <c r="D6" s="19"/>
      <c r="E6" s="21" t="str">
        <f>Prognoser!$B$19</f>
        <v/>
      </c>
      <c r="F6" s="17"/>
      <c r="G6" s="17"/>
      <c r="H6" s="17"/>
      <c r="I6" s="17"/>
      <c r="J6" s="17"/>
      <c r="K6" s="17"/>
      <c r="L6" s="17"/>
      <c r="M6" s="17"/>
      <c r="N6" s="17"/>
      <c r="O6" s="17"/>
      <c r="P6" s="17"/>
      <c r="Q6" s="17"/>
      <c r="R6" s="17"/>
      <c r="S6" s="17"/>
      <c r="T6" s="17"/>
      <c r="U6" s="17"/>
      <c r="V6" s="17"/>
      <c r="W6" s="17"/>
      <c r="X6" s="17"/>
      <c r="Y6" s="17"/>
      <c r="Z6" s="17"/>
    </row>
    <row r="7" spans="1:26" ht="14.45" customHeight="1">
      <c r="A7" s="17"/>
      <c r="B7" s="17"/>
      <c r="C7" s="17"/>
      <c r="D7" s="17"/>
      <c r="E7" s="17"/>
      <c r="F7" s="17"/>
      <c r="G7" s="17"/>
      <c r="H7" s="17"/>
      <c r="I7" s="17"/>
      <c r="J7" s="17"/>
      <c r="K7" s="17"/>
      <c r="L7" s="17"/>
      <c r="M7" s="17"/>
      <c r="N7" s="17"/>
      <c r="O7" s="17"/>
      <c r="P7" s="17"/>
      <c r="Q7" s="17"/>
      <c r="R7" s="17"/>
      <c r="S7" s="17"/>
      <c r="T7" s="17"/>
      <c r="U7" s="17"/>
      <c r="V7" s="17"/>
      <c r="W7" s="17"/>
      <c r="X7" s="17"/>
      <c r="Y7" s="17"/>
      <c r="Z7" s="17"/>
    </row>
    <row r="8" spans="1:26" ht="21">
      <c r="A8" s="16" t="s">
        <v>131</v>
      </c>
      <c r="B8" s="17"/>
      <c r="C8" s="17"/>
      <c r="D8" s="17"/>
      <c r="E8" s="17"/>
      <c r="F8" s="17"/>
      <c r="G8" s="17"/>
      <c r="H8" s="17"/>
      <c r="I8" s="17"/>
      <c r="J8" s="17"/>
      <c r="K8" s="17"/>
      <c r="L8" s="17"/>
      <c r="M8" s="17"/>
      <c r="N8" s="17"/>
      <c r="O8" s="17"/>
      <c r="P8" s="17"/>
      <c r="Q8" s="17"/>
      <c r="R8" s="17"/>
      <c r="S8" s="17"/>
      <c r="T8" s="17"/>
      <c r="U8" s="17"/>
      <c r="V8" s="17"/>
      <c r="W8" s="17"/>
      <c r="X8" s="17"/>
      <c r="Y8" s="17"/>
      <c r="Z8" s="17"/>
    </row>
    <row r="9" spans="1:26">
      <c r="A9" s="11"/>
      <c r="B9" s="12"/>
      <c r="C9" s="12"/>
      <c r="D9" s="12"/>
      <c r="E9" s="12"/>
      <c r="F9" s="12"/>
      <c r="G9" s="17"/>
      <c r="H9" s="12"/>
      <c r="I9" s="12"/>
      <c r="J9" s="17"/>
      <c r="K9" s="17"/>
      <c r="L9" s="17"/>
      <c r="M9" s="17"/>
      <c r="N9" s="17"/>
      <c r="O9" s="17"/>
      <c r="P9" s="17"/>
      <c r="Q9" s="17"/>
      <c r="R9" s="17"/>
      <c r="S9" s="17"/>
      <c r="T9" s="17"/>
      <c r="U9" s="17"/>
      <c r="V9" s="17"/>
      <c r="W9" s="17"/>
      <c r="X9" s="17"/>
      <c r="Y9" s="17"/>
      <c r="Z9" s="17"/>
    </row>
    <row r="10" spans="1:26">
      <c r="A10" s="11"/>
      <c r="B10" s="12"/>
      <c r="C10" s="12"/>
      <c r="D10" s="12"/>
      <c r="E10" s="12"/>
      <c r="F10" s="12"/>
      <c r="G10" s="17"/>
      <c r="H10" s="12"/>
      <c r="I10" s="12"/>
      <c r="J10" s="17"/>
      <c r="K10" s="17"/>
      <c r="L10" s="17"/>
      <c r="M10" s="17"/>
      <c r="N10" s="17"/>
      <c r="O10" s="17"/>
      <c r="P10" s="17"/>
      <c r="Q10" s="17"/>
      <c r="R10" s="17"/>
      <c r="S10" s="17"/>
      <c r="T10" s="17"/>
      <c r="U10" s="17"/>
      <c r="V10" s="17"/>
      <c r="W10" s="17"/>
      <c r="X10" s="17"/>
      <c r="Y10" s="17"/>
      <c r="Z10" s="17"/>
    </row>
    <row r="11" spans="1:26">
      <c r="A11" s="11"/>
      <c r="B11" s="12"/>
      <c r="C11" s="12"/>
      <c r="D11" s="12"/>
      <c r="E11" s="12"/>
      <c r="F11" s="12"/>
      <c r="G11" s="12"/>
      <c r="H11" s="12"/>
      <c r="I11" s="12"/>
      <c r="J11" s="17"/>
      <c r="K11" s="17"/>
      <c r="L11" s="17"/>
      <c r="M11" s="17"/>
      <c r="N11" s="17"/>
      <c r="O11" s="17"/>
      <c r="P11" s="17"/>
      <c r="Q11" s="17"/>
      <c r="R11" s="17"/>
      <c r="S11" s="17"/>
      <c r="T11" s="17"/>
      <c r="U11" s="17"/>
      <c r="V11" s="17"/>
      <c r="W11" s="17"/>
      <c r="X11" s="17"/>
      <c r="Y11" s="17"/>
      <c r="Z11" s="17"/>
    </row>
    <row r="12" spans="1:26" ht="14.45" customHeight="1">
      <c r="A12" s="11"/>
      <c r="B12" s="12"/>
      <c r="C12" s="12"/>
      <c r="D12" s="12"/>
      <c r="E12" s="12"/>
      <c r="F12" s="12"/>
      <c r="G12" s="12"/>
      <c r="H12" s="12"/>
      <c r="I12" s="12"/>
      <c r="J12" s="17"/>
      <c r="K12" s="17"/>
      <c r="L12" s="17"/>
      <c r="M12" s="17"/>
      <c r="N12" s="17"/>
      <c r="O12" s="17"/>
      <c r="P12" s="17"/>
      <c r="Q12" s="17"/>
      <c r="R12" s="17"/>
      <c r="S12" s="17"/>
      <c r="T12" s="17"/>
      <c r="U12" s="17"/>
      <c r="V12" s="17"/>
      <c r="W12" s="17"/>
      <c r="X12" s="17"/>
      <c r="Y12" s="17"/>
      <c r="Z12" s="17"/>
    </row>
    <row r="13" spans="1:26">
      <c r="A13" s="13"/>
      <c r="B13" s="12"/>
      <c r="C13" s="12"/>
      <c r="D13" s="12"/>
      <c r="E13" s="12"/>
      <c r="F13" s="12"/>
      <c r="G13" s="12"/>
      <c r="H13" s="12"/>
      <c r="I13" s="12"/>
      <c r="J13" s="17"/>
      <c r="K13" s="17"/>
      <c r="L13" s="17"/>
      <c r="M13" s="17"/>
      <c r="N13" s="17"/>
      <c r="O13" s="17"/>
      <c r="P13" s="17"/>
      <c r="Q13" s="17"/>
      <c r="R13" s="17"/>
      <c r="S13" s="17"/>
      <c r="T13" s="17"/>
      <c r="U13" s="17"/>
      <c r="V13" s="17"/>
      <c r="W13" s="17"/>
      <c r="X13" s="17"/>
      <c r="Y13" s="17"/>
      <c r="Z13" s="17"/>
    </row>
    <row r="14" spans="1:26" ht="14.45" customHeight="1">
      <c r="A14" s="13"/>
      <c r="B14" s="12"/>
      <c r="C14" s="12"/>
      <c r="D14" s="12"/>
      <c r="E14" s="12"/>
      <c r="F14" s="12"/>
      <c r="G14" s="12"/>
      <c r="H14" s="12"/>
      <c r="I14" s="12"/>
      <c r="J14" s="17"/>
      <c r="K14" s="17"/>
      <c r="L14" s="17"/>
      <c r="M14" s="17"/>
      <c r="N14" s="17"/>
      <c r="O14" s="17"/>
      <c r="P14" s="17"/>
      <c r="Q14" s="17"/>
      <c r="R14" s="17"/>
      <c r="S14" s="17"/>
      <c r="T14" s="17"/>
      <c r="U14" s="17"/>
      <c r="V14" s="17"/>
      <c r="W14" s="17"/>
      <c r="X14" s="17"/>
      <c r="Y14" s="17"/>
      <c r="Z14" s="17"/>
    </row>
    <row r="15" spans="1:26" ht="14.45" customHeight="1">
      <c r="A15" s="13"/>
      <c r="B15" s="12"/>
      <c r="C15" s="12"/>
      <c r="D15" s="12"/>
      <c r="E15" s="12"/>
      <c r="F15" s="12"/>
      <c r="G15" s="12"/>
      <c r="H15" s="12"/>
      <c r="I15" s="12"/>
      <c r="J15" s="17"/>
      <c r="K15" s="17"/>
      <c r="L15" s="17"/>
      <c r="M15" s="17"/>
      <c r="N15" s="17"/>
      <c r="O15" s="17"/>
      <c r="P15" s="17"/>
      <c r="Q15" s="17"/>
      <c r="R15" s="17"/>
      <c r="S15" s="17"/>
      <c r="T15" s="17"/>
      <c r="U15" s="17"/>
      <c r="V15" s="17"/>
      <c r="W15" s="17"/>
      <c r="X15" s="17"/>
      <c r="Y15" s="17"/>
      <c r="Z15" s="17"/>
    </row>
    <row r="16" spans="1:26" ht="14.45" customHeight="1">
      <c r="A16" s="13"/>
      <c r="B16" s="12"/>
      <c r="C16" s="12"/>
      <c r="D16" s="12"/>
      <c r="E16" s="12"/>
      <c r="F16" s="12"/>
      <c r="G16" s="12"/>
      <c r="H16" s="12"/>
      <c r="I16" s="12"/>
      <c r="J16" s="17"/>
      <c r="K16" s="17"/>
      <c r="L16" s="17"/>
      <c r="M16" s="17"/>
      <c r="N16" s="17"/>
      <c r="O16" s="17"/>
      <c r="P16" s="17"/>
      <c r="Q16" s="17"/>
      <c r="R16" s="17"/>
      <c r="S16" s="17"/>
      <c r="T16" s="17"/>
      <c r="U16" s="17"/>
      <c r="V16" s="17"/>
      <c r="W16" s="17"/>
      <c r="X16" s="17"/>
      <c r="Y16" s="17"/>
      <c r="Z16" s="17"/>
    </row>
    <row r="17" spans="1:26" ht="14.45" customHeight="1">
      <c r="A17" s="13"/>
      <c r="B17" s="12"/>
      <c r="C17" s="12"/>
      <c r="D17" s="12"/>
      <c r="E17" s="12"/>
      <c r="F17" s="12"/>
      <c r="G17" s="12"/>
      <c r="H17" s="12"/>
      <c r="I17" s="12"/>
      <c r="J17" s="17"/>
      <c r="K17" s="17"/>
      <c r="L17" s="17"/>
      <c r="M17" s="17"/>
      <c r="N17" s="17"/>
      <c r="O17" s="17"/>
      <c r="P17" s="17"/>
      <c r="Q17" s="17"/>
      <c r="R17" s="17"/>
      <c r="S17" s="17"/>
      <c r="T17" s="17"/>
      <c r="U17" s="17"/>
      <c r="V17" s="17"/>
      <c r="W17" s="17"/>
      <c r="X17" s="17"/>
      <c r="Y17" s="17"/>
      <c r="Z17" s="17"/>
    </row>
    <row r="18" spans="1:26" ht="14.45" customHeight="1">
      <c r="A18" s="13"/>
      <c r="B18" s="12"/>
      <c r="C18" s="12"/>
      <c r="D18" s="12"/>
      <c r="E18" s="12"/>
      <c r="F18" s="12"/>
      <c r="G18" s="12"/>
      <c r="H18" s="12"/>
      <c r="I18" s="12"/>
      <c r="J18" s="17"/>
      <c r="K18" s="17"/>
      <c r="L18" s="17"/>
      <c r="M18" s="17"/>
      <c r="N18" s="17"/>
      <c r="O18" s="17"/>
      <c r="P18" s="17"/>
      <c r="Q18" s="17"/>
      <c r="R18" s="17"/>
      <c r="S18" s="17"/>
      <c r="T18" s="17"/>
      <c r="U18" s="17"/>
      <c r="V18" s="17"/>
      <c r="W18" s="17"/>
      <c r="X18" s="17"/>
      <c r="Y18" s="17"/>
      <c r="Z18" s="17"/>
    </row>
    <row r="19" spans="1:26" ht="14.45" customHeight="1">
      <c r="A19" s="13"/>
      <c r="B19" s="12"/>
      <c r="C19" s="12"/>
      <c r="D19" s="12"/>
      <c r="E19" s="12"/>
      <c r="F19" s="12"/>
      <c r="G19" s="12"/>
      <c r="H19" s="12"/>
      <c r="I19" s="12"/>
      <c r="J19" s="17"/>
      <c r="K19" s="17"/>
      <c r="L19" s="17"/>
      <c r="M19" s="17"/>
      <c r="N19" s="17"/>
      <c r="O19" s="17"/>
      <c r="P19" s="17"/>
      <c r="Q19" s="17"/>
      <c r="R19" s="17"/>
      <c r="S19" s="17"/>
      <c r="T19" s="17"/>
      <c r="U19" s="17"/>
      <c r="V19" s="17"/>
      <c r="W19" s="17"/>
      <c r="X19" s="17"/>
      <c r="Y19" s="17"/>
      <c r="Z19" s="17"/>
    </row>
    <row r="20" spans="1:26" ht="14.45" customHeight="1">
      <c r="A20" s="13"/>
      <c r="B20" s="12"/>
      <c r="C20" s="12"/>
      <c r="D20" s="12"/>
      <c r="E20" s="12"/>
      <c r="F20" s="12"/>
      <c r="G20" s="12"/>
      <c r="H20" s="12"/>
      <c r="I20" s="12"/>
      <c r="J20" s="17"/>
      <c r="K20" s="17"/>
      <c r="L20" s="17"/>
      <c r="M20" s="17"/>
      <c r="N20" s="17"/>
      <c r="O20" s="17"/>
      <c r="P20" s="17"/>
      <c r="Q20" s="17"/>
      <c r="R20" s="17"/>
      <c r="S20" s="17"/>
      <c r="T20" s="17"/>
      <c r="U20" s="17"/>
      <c r="V20" s="17"/>
      <c r="W20" s="17"/>
      <c r="X20" s="17"/>
      <c r="Y20" s="17"/>
      <c r="Z20" s="17"/>
    </row>
    <row r="21" spans="1:26" ht="14.45" customHeight="1">
      <c r="A21" s="13"/>
      <c r="B21" s="12"/>
      <c r="C21" s="12"/>
      <c r="D21" s="12"/>
      <c r="E21" s="12"/>
      <c r="F21" s="12"/>
      <c r="G21" s="12"/>
      <c r="H21" s="12"/>
      <c r="I21" s="12"/>
      <c r="J21" s="17"/>
      <c r="K21" s="17"/>
      <c r="L21" s="17"/>
      <c r="M21" s="17"/>
      <c r="N21" s="17"/>
      <c r="O21" s="17"/>
      <c r="P21" s="17"/>
      <c r="Q21" s="17"/>
      <c r="R21" s="17"/>
      <c r="S21" s="17"/>
      <c r="T21" s="17"/>
      <c r="U21" s="17"/>
      <c r="V21" s="17"/>
      <c r="W21" s="17"/>
      <c r="X21" s="17"/>
      <c r="Y21" s="17"/>
      <c r="Z21" s="17"/>
    </row>
    <row r="22" spans="1:26" ht="23.45" customHeight="1">
      <c r="A22" s="13"/>
      <c r="B22" s="12"/>
      <c r="C22" s="12"/>
      <c r="D22" s="12"/>
      <c r="E22" s="12"/>
      <c r="F22" s="12"/>
      <c r="G22" s="12"/>
      <c r="H22" s="12"/>
      <c r="I22" s="12"/>
      <c r="J22" s="17"/>
      <c r="K22" s="17"/>
      <c r="L22" s="17"/>
      <c r="M22" s="17"/>
      <c r="N22" s="17"/>
      <c r="O22" s="17"/>
      <c r="P22" s="17"/>
      <c r="Q22" s="17"/>
      <c r="R22" s="17"/>
      <c r="S22" s="17"/>
      <c r="T22" s="17"/>
      <c r="U22" s="17"/>
      <c r="V22" s="17"/>
      <c r="W22" s="17"/>
      <c r="X22" s="17"/>
      <c r="Y22" s="17"/>
      <c r="Z22" s="17"/>
    </row>
    <row r="23" spans="1:26" ht="13.5" customHeight="1">
      <c r="A23" s="13"/>
      <c r="B23" s="12"/>
      <c r="C23" s="12"/>
      <c r="D23" s="12"/>
      <c r="E23" s="12"/>
      <c r="F23" s="12"/>
      <c r="G23" s="12"/>
      <c r="H23" s="12"/>
      <c r="I23" s="12"/>
      <c r="J23" s="17"/>
      <c r="K23" s="17"/>
      <c r="L23" s="17"/>
      <c r="M23" s="17"/>
      <c r="N23" s="17"/>
      <c r="O23" s="17"/>
      <c r="P23" s="17"/>
      <c r="Q23" s="17"/>
      <c r="R23" s="17"/>
      <c r="S23" s="17"/>
      <c r="T23" s="17"/>
      <c r="U23" s="17"/>
      <c r="V23" s="17"/>
      <c r="W23" s="17"/>
      <c r="X23" s="17"/>
      <c r="Y23" s="17"/>
      <c r="Z23" s="17"/>
    </row>
    <row r="24" spans="1:26" ht="13.5" customHeight="1">
      <c r="A24" s="11"/>
      <c r="B24" s="11"/>
      <c r="C24" s="14"/>
      <c r="D24" s="14"/>
      <c r="E24" s="15"/>
      <c r="F24" s="11"/>
      <c r="G24" s="12"/>
      <c r="H24" s="11"/>
      <c r="I24" s="11"/>
      <c r="J24" s="17"/>
      <c r="K24" s="17"/>
      <c r="L24" s="17"/>
      <c r="M24" s="17"/>
      <c r="N24" s="17"/>
      <c r="O24" s="17"/>
      <c r="P24" s="17"/>
      <c r="Q24" s="17"/>
      <c r="R24" s="17"/>
      <c r="S24" s="17"/>
      <c r="T24" s="17"/>
      <c r="U24" s="17"/>
      <c r="V24" s="17"/>
      <c r="W24" s="17"/>
      <c r="X24" s="17"/>
      <c r="Y24" s="17"/>
      <c r="Z24" s="17"/>
    </row>
    <row r="25" spans="1:26" ht="13.5" customHeight="1">
      <c r="A25" s="11"/>
      <c r="B25" s="11"/>
      <c r="C25" s="14"/>
      <c r="D25" s="14"/>
      <c r="E25" s="15"/>
      <c r="F25" s="11"/>
      <c r="G25" s="12"/>
      <c r="H25" s="11"/>
      <c r="I25" s="11"/>
      <c r="J25" s="17"/>
      <c r="K25" s="17"/>
      <c r="L25" s="17"/>
      <c r="M25" s="17"/>
      <c r="N25" s="17"/>
      <c r="O25" s="17"/>
      <c r="P25" s="17"/>
      <c r="Q25" s="17"/>
      <c r="R25" s="17"/>
      <c r="S25" s="17"/>
      <c r="T25" s="17"/>
      <c r="U25" s="17"/>
      <c r="V25" s="17"/>
      <c r="W25" s="17"/>
      <c r="X25" s="17"/>
      <c r="Y25" s="17"/>
      <c r="Z25" s="17"/>
    </row>
    <row r="26" spans="1:26" ht="13.5" customHeight="1">
      <c r="A26" s="11"/>
      <c r="B26" s="11"/>
      <c r="C26" s="14"/>
      <c r="D26" s="14"/>
      <c r="E26" s="15"/>
      <c r="F26" s="11"/>
      <c r="G26" s="11"/>
      <c r="H26" s="11"/>
      <c r="I26" s="11"/>
      <c r="J26" s="17"/>
      <c r="K26" s="17"/>
      <c r="L26" s="17"/>
      <c r="M26" s="17"/>
      <c r="N26" s="17"/>
      <c r="O26" s="17"/>
      <c r="P26" s="17"/>
      <c r="Q26" s="17"/>
      <c r="R26" s="17"/>
      <c r="S26" s="17"/>
      <c r="T26" s="17"/>
      <c r="U26" s="17"/>
      <c r="V26" s="17"/>
      <c r="W26" s="17"/>
      <c r="X26" s="17"/>
      <c r="Y26" s="17"/>
      <c r="Z26" s="17"/>
    </row>
    <row r="27" spans="1:26" ht="13.5" customHeight="1">
      <c r="A27" s="11"/>
      <c r="B27" s="11"/>
      <c r="C27" s="14"/>
      <c r="D27" s="14"/>
      <c r="E27" s="15"/>
      <c r="F27" s="11"/>
      <c r="G27" s="11"/>
      <c r="H27" s="11"/>
      <c r="I27" s="11"/>
      <c r="J27" s="17"/>
      <c r="K27" s="17"/>
      <c r="L27" s="17"/>
      <c r="M27" s="17"/>
      <c r="N27" s="17"/>
      <c r="O27" s="17"/>
      <c r="P27" s="17"/>
      <c r="Q27" s="17"/>
      <c r="R27" s="17"/>
      <c r="S27" s="17"/>
      <c r="T27" s="17"/>
      <c r="U27" s="17"/>
      <c r="V27" s="17"/>
      <c r="W27" s="17"/>
      <c r="X27" s="17"/>
      <c r="Y27" s="17"/>
      <c r="Z27" s="17"/>
    </row>
    <row r="28" spans="1:26" ht="13.5" customHeight="1">
      <c r="A28" s="11"/>
      <c r="B28" s="11"/>
      <c r="C28" s="14"/>
      <c r="D28" s="14"/>
      <c r="E28" s="15"/>
      <c r="F28" s="11"/>
      <c r="G28" s="11"/>
      <c r="H28" s="11"/>
      <c r="I28" s="11"/>
      <c r="J28" s="17"/>
      <c r="K28" s="17"/>
      <c r="L28" s="17"/>
      <c r="M28" s="17"/>
      <c r="N28" s="17"/>
      <c r="O28" s="17"/>
      <c r="P28" s="17"/>
      <c r="Q28" s="17"/>
      <c r="R28" s="17"/>
      <c r="S28" s="17"/>
      <c r="T28" s="17"/>
      <c r="U28" s="17"/>
      <c r="V28" s="17"/>
      <c r="W28" s="17"/>
      <c r="X28" s="17"/>
      <c r="Y28" s="17"/>
      <c r="Z28" s="17"/>
    </row>
    <row r="29" spans="1:26" ht="13.5" customHeight="1">
      <c r="A29" s="11"/>
      <c r="B29" s="11"/>
      <c r="C29" s="14"/>
      <c r="D29" s="14"/>
      <c r="E29" s="15"/>
      <c r="F29" s="11"/>
      <c r="G29" s="11"/>
      <c r="H29" s="11"/>
      <c r="I29" s="11"/>
      <c r="J29" s="17"/>
      <c r="K29" s="17"/>
      <c r="L29" s="17"/>
      <c r="M29" s="17"/>
      <c r="N29" s="17"/>
      <c r="O29" s="17"/>
      <c r="P29" s="17"/>
      <c r="Q29" s="17"/>
      <c r="R29" s="17"/>
      <c r="S29" s="17"/>
      <c r="T29" s="17"/>
      <c r="U29" s="17"/>
      <c r="V29" s="17"/>
      <c r="W29" s="17"/>
      <c r="X29" s="17"/>
      <c r="Y29" s="17"/>
      <c r="Z29" s="17"/>
    </row>
    <row r="30" spans="1:26" ht="13.5" customHeight="1">
      <c r="A30" s="11"/>
      <c r="B30" s="11"/>
      <c r="C30" s="14"/>
      <c r="D30" s="14"/>
      <c r="E30" s="15"/>
      <c r="F30" s="11"/>
      <c r="G30" s="11"/>
      <c r="H30" s="11"/>
      <c r="I30" s="11"/>
      <c r="J30" s="17"/>
      <c r="K30" s="17"/>
      <c r="L30" s="17"/>
      <c r="M30" s="17"/>
      <c r="N30" s="17"/>
      <c r="O30" s="17"/>
      <c r="P30" s="17"/>
      <c r="Q30" s="17"/>
      <c r="R30" s="17"/>
      <c r="S30" s="17"/>
      <c r="T30" s="17"/>
      <c r="U30" s="17"/>
      <c r="V30" s="17"/>
      <c r="W30" s="17"/>
      <c r="X30" s="17"/>
      <c r="Y30" s="17"/>
      <c r="Z30" s="17"/>
    </row>
    <row r="31" spans="1:26" ht="13.5" customHeight="1">
      <c r="A31" s="11"/>
      <c r="B31" s="11"/>
      <c r="C31" s="14"/>
      <c r="D31" s="14"/>
      <c r="E31" s="15"/>
      <c r="F31" s="11"/>
      <c r="G31" s="11"/>
      <c r="H31" s="11"/>
      <c r="I31" s="11"/>
      <c r="J31" s="17"/>
      <c r="K31" s="17"/>
      <c r="L31" s="17"/>
      <c r="M31" s="17"/>
      <c r="N31" s="17"/>
      <c r="O31" s="17"/>
      <c r="P31" s="17"/>
      <c r="Q31" s="17"/>
      <c r="R31" s="17"/>
      <c r="S31" s="17"/>
      <c r="T31" s="17"/>
      <c r="U31" s="17"/>
      <c r="V31" s="17"/>
      <c r="W31" s="17"/>
      <c r="X31" s="17"/>
      <c r="Y31" s="17"/>
      <c r="Z31" s="17"/>
    </row>
    <row r="32" spans="1:26" ht="13.5" customHeight="1">
      <c r="A32" s="11"/>
      <c r="B32" s="11"/>
      <c r="C32" s="14"/>
      <c r="D32" s="14"/>
      <c r="E32" s="15"/>
      <c r="F32" s="11"/>
      <c r="G32" s="11"/>
      <c r="H32" s="11"/>
      <c r="I32" s="11"/>
      <c r="J32" s="17"/>
      <c r="K32" s="17"/>
      <c r="L32" s="17"/>
      <c r="M32" s="17"/>
      <c r="N32" s="17"/>
      <c r="O32" s="17"/>
      <c r="P32" s="17"/>
      <c r="Q32" s="17"/>
      <c r="R32" s="17"/>
      <c r="S32" s="17"/>
      <c r="T32" s="17"/>
      <c r="U32" s="17"/>
      <c r="V32" s="17"/>
      <c r="W32" s="17"/>
      <c r="X32" s="17"/>
      <c r="Y32" s="17"/>
      <c r="Z32" s="17"/>
    </row>
    <row r="33" spans="1:26" ht="13.5" customHeight="1">
      <c r="A33" s="11"/>
      <c r="B33" s="11"/>
      <c r="C33" s="14"/>
      <c r="D33" s="14"/>
      <c r="E33" s="15"/>
      <c r="F33" s="11"/>
      <c r="G33" s="11"/>
      <c r="H33" s="11"/>
      <c r="I33" s="11"/>
      <c r="J33" s="17"/>
      <c r="K33" s="17"/>
      <c r="L33" s="17"/>
      <c r="M33" s="17"/>
      <c r="N33" s="17"/>
      <c r="O33" s="17"/>
      <c r="P33" s="17"/>
      <c r="Q33" s="17"/>
      <c r="R33" s="17"/>
      <c r="S33" s="17"/>
      <c r="T33" s="17"/>
      <c r="U33" s="17"/>
      <c r="V33" s="17"/>
      <c r="W33" s="17"/>
      <c r="X33" s="17"/>
      <c r="Y33" s="17"/>
      <c r="Z33" s="17"/>
    </row>
    <row r="34" spans="1:26" ht="13.5" customHeight="1">
      <c r="A34" s="11"/>
      <c r="B34" s="11"/>
      <c r="C34" s="14"/>
      <c r="D34" s="14"/>
      <c r="E34" s="15"/>
      <c r="F34" s="11"/>
      <c r="G34" s="11"/>
      <c r="H34" s="11"/>
      <c r="I34" s="11"/>
      <c r="J34" s="17"/>
      <c r="K34" s="17"/>
      <c r="L34" s="17"/>
      <c r="M34" s="17"/>
      <c r="N34" s="17"/>
      <c r="O34" s="17"/>
      <c r="P34" s="17"/>
      <c r="Q34" s="17"/>
      <c r="R34" s="17"/>
      <c r="S34" s="17"/>
      <c r="T34" s="17"/>
      <c r="U34" s="17"/>
      <c r="V34" s="17"/>
      <c r="W34" s="17"/>
      <c r="X34" s="17"/>
      <c r="Y34" s="17"/>
      <c r="Z34" s="17"/>
    </row>
    <row r="35" spans="1:26" ht="13.5" customHeight="1">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row>
    <row r="36" spans="1:26" ht="13.5" customHeight="1">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row>
    <row r="37" spans="1:26">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row>
    <row r="38" spans="1:26" ht="13.5" customHeight="1">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row>
    <row r="39" spans="1:26" ht="13.5" customHeight="1">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row>
    <row r="40" spans="1:26" ht="13.5" customHeight="1">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row>
    <row r="41" spans="1:26" ht="13.5" customHeight="1">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row>
    <row r="42" spans="1:26" ht="13.5" customHeight="1">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row>
    <row r="43" spans="1:26" ht="13.5" customHeight="1">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row>
    <row r="44" spans="1:26" ht="13.5" customHeight="1">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row>
    <row r="45" spans="1:26" ht="13.5" customHeight="1">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row>
    <row r="46" spans="1:26" ht="13.5" customHeight="1">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row>
    <row r="47" spans="1:26" ht="13.5" customHeight="1">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row>
    <row r="48" spans="1:26" ht="13.5" customHeight="1">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row>
    <row r="49" spans="1:26" ht="13.5" customHeight="1">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row>
    <row r="50" spans="1:26" ht="13.5" customHeight="1">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row>
    <row r="51" spans="1:26" ht="13.5" customHeight="1">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row>
    <row r="52" spans="1:26" ht="13.5" customHeight="1">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row>
    <row r="53" spans="1:26" ht="13.5" customHeight="1">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row>
    <row r="54" spans="1:26" ht="13.5" customHeight="1">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26" ht="13.5" customHeight="1">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26" ht="13.5" customHeight="1">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26" ht="13.5" customHeight="1">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26" ht="13.5" customHeight="1">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26" ht="13.5" customHeight="1">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26" ht="13.5" customHeight="1">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26" ht="13.5" customHeight="1">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26" ht="13.5" customHeight="1">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26" ht="13.5" customHeight="1">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26" ht="13.5" customHeight="1">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6" ht="13.5" customHeight="1">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6">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ht="12" customHeight="1">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1:26">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sheetData>
  <sheetProtection sheet="1" objects="1" scenarios="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71"/>
  <sheetViews>
    <sheetView topLeftCell="A13" zoomScale="110" zoomScaleNormal="110" workbookViewId="0">
      <selection activeCell="D14" sqref="D14"/>
    </sheetView>
  </sheetViews>
  <sheetFormatPr baseColWidth="10" defaultColWidth="0" defaultRowHeight="15" zeroHeight="1"/>
  <cols>
    <col min="1" max="1" width="4.7109375" customWidth="1"/>
    <col min="2" max="2" width="50.42578125" customWidth="1"/>
    <col min="3" max="3" width="17.140625" bestFit="1" customWidth="1"/>
    <col min="4" max="4" width="61" customWidth="1"/>
    <col min="5" max="5" width="26.85546875" bestFit="1" customWidth="1"/>
    <col min="6" max="6" width="32.7109375" customWidth="1"/>
    <col min="7" max="7" width="20.85546875" bestFit="1" customWidth="1"/>
    <col min="8" max="32" width="10.85546875" customWidth="1"/>
    <col min="33" max="41" width="0" hidden="1" customWidth="1"/>
    <col min="42" max="16384" width="10.85546875" hidden="1"/>
  </cols>
  <sheetData>
    <row r="1" spans="1:32" ht="21">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row>
    <row r="2" spans="1:32" ht="38.1" customHeight="1">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row>
    <row r="3" spans="1:32" ht="21.95" customHeight="1">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row>
    <row r="4" spans="1:32" ht="18.600000000000001" customHeight="1">
      <c r="A4" s="16"/>
      <c r="B4" s="20" t="s">
        <v>177</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row>
    <row r="5" spans="1:32" ht="14.45" customHeight="1">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row>
    <row r="6" spans="1:32" ht="18.75">
      <c r="A6" s="19"/>
      <c r="B6" s="21" t="str">
        <f>Prognoser!$B$19</f>
        <v/>
      </c>
      <c r="C6" s="19"/>
      <c r="D6" s="19"/>
      <c r="E6" s="19"/>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c r="A7" s="27"/>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row>
    <row r="8" spans="1:32">
      <c r="A8" s="27"/>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row>
    <row r="9" spans="1:32">
      <c r="A9" s="27"/>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row>
    <row r="10" spans="1:32">
      <c r="A10" s="27"/>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row>
    <row r="11" spans="1:32">
      <c r="A11" s="27"/>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row>
    <row r="12" spans="1:32" ht="24" thickBot="1">
      <c r="A12" s="27"/>
      <c r="B12" s="40"/>
      <c r="C12" s="40"/>
      <c r="D12" s="41"/>
      <c r="E12" s="41"/>
      <c r="F12" s="40"/>
      <c r="G12" s="40"/>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row>
    <row r="13" spans="1:32">
      <c r="A13" s="27"/>
      <c r="B13" s="42" t="s">
        <v>66</v>
      </c>
      <c r="C13" s="43" t="s">
        <v>101</v>
      </c>
      <c r="D13" s="43" t="s">
        <v>81</v>
      </c>
      <c r="E13" s="43" t="s">
        <v>79</v>
      </c>
      <c r="F13" s="44" t="s">
        <v>96</v>
      </c>
      <c r="G13" s="45" t="s">
        <v>543</v>
      </c>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row>
    <row r="14" spans="1:32">
      <c r="A14" s="27"/>
      <c r="B14" s="28" t="s">
        <v>26</v>
      </c>
      <c r="C14" s="46" t="s">
        <v>102</v>
      </c>
      <c r="D14" s="46" t="s">
        <v>82</v>
      </c>
      <c r="E14" s="46" t="s">
        <v>80</v>
      </c>
      <c r="F14" s="46" t="s">
        <v>86</v>
      </c>
      <c r="G14" s="29">
        <f>drinnt_old</f>
        <v>0</v>
      </c>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row>
    <row r="15" spans="1:32">
      <c r="A15" s="27"/>
      <c r="B15" s="28" t="s">
        <v>67</v>
      </c>
      <c r="C15" s="46" t="s">
        <v>103</v>
      </c>
      <c r="D15" s="46" t="s">
        <v>83</v>
      </c>
      <c r="E15" s="46" t="s">
        <v>80</v>
      </c>
      <c r="F15" s="46" t="s">
        <v>84</v>
      </c>
      <c r="G15" s="29">
        <f>renteinnt_utbytte_old</f>
        <v>0</v>
      </c>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row>
    <row r="16" spans="1:32">
      <c r="A16" s="27"/>
      <c r="B16" s="28" t="s">
        <v>168</v>
      </c>
      <c r="C16" s="46" t="s">
        <v>104</v>
      </c>
      <c r="D16" s="46" t="s">
        <v>85</v>
      </c>
      <c r="E16" s="46" t="s">
        <v>80</v>
      </c>
      <c r="F16" s="46" t="s">
        <v>87</v>
      </c>
      <c r="G16" s="30">
        <f>SUMPRODUCT((kommnr_kol=Kommunenr)*(driutg_old_kol))</f>
        <v>0</v>
      </c>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row>
    <row r="17" spans="1:32">
      <c r="A17" s="27"/>
      <c r="B17" s="28" t="s">
        <v>68</v>
      </c>
      <c r="C17" s="46" t="s">
        <v>105</v>
      </c>
      <c r="D17" s="46" t="s">
        <v>68</v>
      </c>
      <c r="E17" s="46" t="s">
        <v>80</v>
      </c>
      <c r="F17" s="46" t="s">
        <v>88</v>
      </c>
      <c r="G17" s="29">
        <f>SUMPRODUCT((kommnr_kol=Kommunenr)*(renteutg_old_kol))</f>
        <v>0</v>
      </c>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row>
    <row r="18" spans="1:32">
      <c r="A18" s="27"/>
      <c r="B18" s="28" t="s">
        <v>21</v>
      </c>
      <c r="C18" s="46" t="s">
        <v>106</v>
      </c>
      <c r="D18" s="46" t="s">
        <v>21</v>
      </c>
      <c r="E18" s="46" t="s">
        <v>80</v>
      </c>
      <c r="F18" s="46" t="s">
        <v>89</v>
      </c>
      <c r="G18" s="29">
        <f>SUMPRODUCT((kommnr_kol=Kommunenr)*(avdragsutg_old_kol))</f>
        <v>0</v>
      </c>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row>
    <row r="19" spans="1:32">
      <c r="A19" s="27"/>
      <c r="B19" s="28" t="s">
        <v>118</v>
      </c>
      <c r="C19" s="46" t="s">
        <v>107</v>
      </c>
      <c r="D19" s="46" t="s">
        <v>91</v>
      </c>
      <c r="E19" s="46" t="s">
        <v>90</v>
      </c>
      <c r="F19" s="46" t="s">
        <v>92</v>
      </c>
      <c r="G19" s="29">
        <f>SUMPRODUCT((kommnr_kol=Kommunenr)*(investeringer_old_kol))</f>
        <v>0</v>
      </c>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row>
    <row r="20" spans="1:32">
      <c r="A20" s="27"/>
      <c r="B20" s="28" t="s">
        <v>29</v>
      </c>
      <c r="C20" s="46" t="s">
        <v>109</v>
      </c>
      <c r="D20" s="46" t="s">
        <v>549</v>
      </c>
      <c r="E20" s="46" t="s">
        <v>90</v>
      </c>
      <c r="F20" s="46" t="s">
        <v>550</v>
      </c>
      <c r="G20" s="29">
        <f>SUMPRODUCT((kommnr_kol=Kommunenr)*(inv_innt_old_kol))</f>
        <v>0</v>
      </c>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row>
    <row r="21" spans="1:32" hidden="1">
      <c r="A21" s="27"/>
      <c r="B21" s="31" t="s">
        <v>71</v>
      </c>
      <c r="C21" s="9" t="s">
        <v>110</v>
      </c>
      <c r="D21" s="46" t="s">
        <v>94</v>
      </c>
      <c r="E21" s="9" t="s">
        <v>93</v>
      </c>
      <c r="F21" s="46" t="s">
        <v>95</v>
      </c>
      <c r="G21" s="29">
        <f>akk_merforbruk</f>
        <v>0</v>
      </c>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row>
    <row r="22" spans="1:32" ht="45">
      <c r="A22" s="27"/>
      <c r="B22" s="28" t="s">
        <v>70</v>
      </c>
      <c r="C22" s="46" t="s">
        <v>108</v>
      </c>
      <c r="D22" s="46" t="s">
        <v>97</v>
      </c>
      <c r="E22" s="9" t="s">
        <v>93</v>
      </c>
      <c r="F22" s="47" t="s">
        <v>175</v>
      </c>
      <c r="G22" s="29">
        <f>finansformue</f>
        <v>0</v>
      </c>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row>
    <row r="23" spans="1:32" ht="30">
      <c r="A23" s="27"/>
      <c r="B23" s="28" t="s">
        <v>33</v>
      </c>
      <c r="C23" s="46" t="s">
        <v>111</v>
      </c>
      <c r="D23" s="47" t="s">
        <v>165</v>
      </c>
      <c r="E23" s="9" t="s">
        <v>93</v>
      </c>
      <c r="F23" s="46" t="s">
        <v>166</v>
      </c>
      <c r="G23" s="29">
        <f>gjeld_old</f>
        <v>0</v>
      </c>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row>
    <row r="24" spans="1:32">
      <c r="A24" s="27"/>
      <c r="B24" s="28" t="s">
        <v>98</v>
      </c>
      <c r="C24" s="46" t="s">
        <v>112</v>
      </c>
      <c r="D24" s="46" t="s">
        <v>98</v>
      </c>
      <c r="E24" s="9" t="s">
        <v>93</v>
      </c>
      <c r="F24" s="46" t="s">
        <v>99</v>
      </c>
      <c r="G24" s="29">
        <f>dispfond</f>
        <v>0</v>
      </c>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row>
    <row r="25" spans="1:32">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row>
    <row r="26" spans="1:32">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row>
    <row r="27" spans="1:32">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row>
    <row r="28" spans="1:32">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row>
    <row r="29" spans="1:32">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row>
    <row r="30" spans="1:32">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row>
    <row r="31" spans="1:32">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row>
    <row r="32" spans="1:32">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row>
    <row r="33" spans="1:32">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row>
    <row r="34" spans="1:32">
      <c r="A34" s="27"/>
      <c r="B34" s="74" t="s">
        <v>114</v>
      </c>
      <c r="C34" s="72" t="s">
        <v>101</v>
      </c>
      <c r="D34" s="72" t="s">
        <v>81</v>
      </c>
      <c r="E34" s="72" t="s">
        <v>543</v>
      </c>
      <c r="F34" s="75" t="s">
        <v>119</v>
      </c>
      <c r="G34" s="76" t="s">
        <v>115</v>
      </c>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row>
    <row r="35" spans="1:32" ht="30">
      <c r="A35" s="27"/>
      <c r="B35" s="28" t="s">
        <v>56</v>
      </c>
      <c r="C35" s="38" t="s">
        <v>116</v>
      </c>
      <c r="D35" s="73" t="s">
        <v>179</v>
      </c>
      <c r="E35" s="48" t="e">
        <f>G16/(G14+G15)</f>
        <v>#DIV/0!</v>
      </c>
      <c r="F35" s="1" t="str">
        <f>IF(OR(C50="",C51="",C52="",C57=""),"",(AVERAGE(C52:G52)-AVERAGE(C57:G57))/(AVERAGE(C50:G50)+AVERAGE(C51:G51)))</f>
        <v/>
      </c>
      <c r="G35" s="39">
        <f>SUMPRODUCT((kommnr_kol=Kommunenr)*(a_driutg_kol))</f>
        <v>0</v>
      </c>
      <c r="H35" s="17" t="s">
        <v>60</v>
      </c>
      <c r="I35" s="27"/>
      <c r="J35" s="27"/>
      <c r="K35" s="27"/>
      <c r="L35" s="27"/>
      <c r="M35" s="27"/>
      <c r="N35" s="27"/>
      <c r="O35" s="27"/>
      <c r="P35" s="27"/>
      <c r="Q35" s="27"/>
      <c r="R35" s="27"/>
      <c r="S35" s="27"/>
      <c r="T35" s="27"/>
      <c r="U35" s="27"/>
      <c r="V35" s="27"/>
      <c r="W35" s="27"/>
      <c r="X35" s="27"/>
      <c r="Y35" s="27"/>
      <c r="Z35" s="27"/>
      <c r="AA35" s="27"/>
      <c r="AB35" s="27"/>
      <c r="AC35" s="27"/>
      <c r="AD35" s="27"/>
      <c r="AE35" s="27"/>
      <c r="AF35" s="27"/>
    </row>
    <row r="36" spans="1:32">
      <c r="A36" s="27"/>
      <c r="B36" s="28" t="s">
        <v>57</v>
      </c>
      <c r="C36" s="38" t="s">
        <v>117</v>
      </c>
      <c r="D36" s="8" t="s">
        <v>169</v>
      </c>
      <c r="E36" s="48" t="e">
        <f>G19/G16</f>
        <v>#DIV/0!</v>
      </c>
      <c r="F36" s="1" t="str">
        <f>IF(OR(C52="",C55="",C57=""),"",(AVERAGE(C55:G55))/(AVERAGE(C52:G52)-AVERAGE(C57:G57)))</f>
        <v/>
      </c>
      <c r="G36" s="39">
        <f>SUMPRODUCT((kommnr_kol=Kommunenr)*(a_inv_kol))</f>
        <v>0</v>
      </c>
      <c r="H36" s="17" t="s">
        <v>545</v>
      </c>
      <c r="I36" s="27"/>
      <c r="J36" s="27"/>
      <c r="K36" s="27"/>
      <c r="L36" s="27"/>
      <c r="M36" s="27"/>
      <c r="N36" s="27"/>
      <c r="O36" s="27"/>
      <c r="P36" s="27"/>
      <c r="Q36" s="27"/>
      <c r="R36" s="27"/>
      <c r="S36" s="27"/>
      <c r="T36" s="27"/>
      <c r="U36" s="27"/>
      <c r="V36" s="27"/>
      <c r="W36" s="27"/>
      <c r="X36" s="27"/>
      <c r="Y36" s="27"/>
      <c r="Z36" s="27"/>
      <c r="AA36" s="27"/>
      <c r="AB36" s="27"/>
      <c r="AC36" s="27"/>
      <c r="AD36" s="27"/>
      <c r="AE36" s="27"/>
      <c r="AF36" s="27"/>
    </row>
    <row r="37" spans="1:32">
      <c r="A37" s="27"/>
      <c r="B37" s="28" t="s">
        <v>78</v>
      </c>
      <c r="C37" s="38" t="s">
        <v>120</v>
      </c>
      <c r="D37" s="8" t="s">
        <v>121</v>
      </c>
      <c r="E37" s="48" t="e">
        <f>G20/G19</f>
        <v>#DIV/0!</v>
      </c>
      <c r="F37" s="1" t="str">
        <f>IF(OR(C55="",C56=""),"",AVERAGE(C56:G56)/AVERAGE(C55:G55))</f>
        <v/>
      </c>
      <c r="G37" s="39">
        <f>SUMPRODUCT((kommnr_kol=Kommunenr)*(a_inv_innt_kol))</f>
        <v>0</v>
      </c>
      <c r="H37" s="17" t="s">
        <v>545</v>
      </c>
      <c r="I37" s="27"/>
      <c r="J37" s="27"/>
      <c r="K37" s="27"/>
      <c r="L37" s="27"/>
      <c r="M37" s="27"/>
      <c r="N37" s="27"/>
      <c r="O37" s="27"/>
      <c r="P37" s="27"/>
      <c r="Q37" s="27"/>
      <c r="R37" s="27"/>
      <c r="S37" s="27"/>
      <c r="T37" s="27"/>
      <c r="U37" s="27"/>
      <c r="V37" s="27"/>
      <c r="W37" s="27"/>
      <c r="X37" s="27"/>
      <c r="Y37" s="27"/>
      <c r="Z37" s="27"/>
      <c r="AA37" s="27"/>
      <c r="AB37" s="27"/>
      <c r="AC37" s="27"/>
      <c r="AD37" s="27"/>
      <c r="AE37" s="27"/>
      <c r="AF37" s="27"/>
    </row>
    <row r="38" spans="1:32">
      <c r="A38" s="27"/>
      <c r="B38" s="28" t="s">
        <v>58</v>
      </c>
      <c r="C38" s="38" t="s">
        <v>122</v>
      </c>
      <c r="D38" s="8" t="s">
        <v>123</v>
      </c>
      <c r="E38" s="48" t="e">
        <f>G18/G23</f>
        <v>#DIV/0!</v>
      </c>
      <c r="F38" s="1" t="str">
        <f>IF(OR(C59="",C54=""),"",AVERAGE(C54:G54)/AVERAGE(C59:G59))</f>
        <v/>
      </c>
      <c r="G38" s="39">
        <f>SUMPRODUCT((kommnr_kol=Kommunenr)*(a_avdrag_kol))</f>
        <v>0</v>
      </c>
      <c r="H38" s="17" t="s">
        <v>61</v>
      </c>
      <c r="I38" s="27"/>
      <c r="J38" s="27"/>
      <c r="K38" s="27"/>
      <c r="L38" s="27"/>
      <c r="M38" s="27"/>
      <c r="N38" s="27"/>
      <c r="O38" s="27"/>
      <c r="P38" s="27"/>
      <c r="Q38" s="27"/>
      <c r="R38" s="27"/>
      <c r="S38" s="27"/>
      <c r="T38" s="27"/>
      <c r="U38" s="27"/>
      <c r="V38" s="27"/>
      <c r="W38" s="27"/>
      <c r="X38" s="27"/>
      <c r="Y38" s="27"/>
      <c r="Z38" s="27"/>
      <c r="AA38" s="27"/>
      <c r="AB38" s="27"/>
      <c r="AC38" s="27"/>
      <c r="AD38" s="27"/>
      <c r="AE38" s="27"/>
      <c r="AF38" s="27"/>
    </row>
    <row r="39" spans="1:32">
      <c r="A39" s="27"/>
      <c r="B39" s="28" t="s">
        <v>62</v>
      </c>
      <c r="C39" s="38" t="s">
        <v>145</v>
      </c>
      <c r="D39" s="8" t="s">
        <v>152</v>
      </c>
      <c r="E39" s="48" t="e">
        <f>G15/G22</f>
        <v>#DIV/0!</v>
      </c>
      <c r="F39" s="1" t="str">
        <f>IF(OR(C51="",C58=""),"",AVERAGE(C51:G51)/AVERAGE(C58:G58))</f>
        <v/>
      </c>
      <c r="G39" s="39">
        <f>SUMPRODUCT((kommnr_kol=Kommunenr)*(avkastning_finansformue_kol))</f>
        <v>0</v>
      </c>
      <c r="H39" s="17" t="s">
        <v>60</v>
      </c>
      <c r="I39" s="27"/>
      <c r="J39" s="27"/>
      <c r="K39" s="27"/>
      <c r="L39" s="27"/>
      <c r="M39" s="27"/>
      <c r="N39" s="27"/>
      <c r="O39" s="27"/>
      <c r="P39" s="27"/>
      <c r="Q39" s="27"/>
      <c r="R39" s="27"/>
      <c r="S39" s="27"/>
      <c r="T39" s="27"/>
      <c r="U39" s="27"/>
      <c r="V39" s="27"/>
      <c r="W39" s="27"/>
      <c r="X39" s="27"/>
      <c r="Y39" s="27"/>
      <c r="Z39" s="27"/>
      <c r="AA39" s="27"/>
      <c r="AB39" s="27"/>
      <c r="AC39" s="27"/>
      <c r="AD39" s="27"/>
      <c r="AE39" s="27"/>
      <c r="AF39" s="27"/>
    </row>
    <row r="40" spans="1:32">
      <c r="A40" s="27"/>
      <c r="B40" s="28" t="s">
        <v>153</v>
      </c>
      <c r="C40" s="38" t="s">
        <v>124</v>
      </c>
      <c r="D40" s="8" t="s">
        <v>125</v>
      </c>
      <c r="E40" s="48"/>
      <c r="F40" s="1" t="str">
        <f>IF(AND(C50="",D50="",E50="",F50="",G50=""),"",IF(AND(D50="",E50="",F50="",G50="",C50&lt;&gt;""),C50/G14-1,IF(AND(E50="",F50="",G50="",D50&lt;&gt;""),(D50/C50)-1,IF(AND(F50="",G50="",E50&lt;&gt;""),(E50/C50)^(1/2)-1,IF(AND(G50="",F50&lt;&gt;""),(F50/C50)^(1/3)-1,(G50/C50)^(1/4)-1)))))</f>
        <v/>
      </c>
      <c r="G40" s="39">
        <f>Prognoser!B4</f>
        <v>0.01</v>
      </c>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row>
    <row r="41" spans="1:32">
      <c r="A41" s="27"/>
      <c r="B41" s="28" t="s">
        <v>154</v>
      </c>
      <c r="C41" s="38"/>
      <c r="D41" s="8" t="s">
        <v>155</v>
      </c>
      <c r="E41" s="48"/>
      <c r="F41" s="1"/>
      <c r="G41" s="39">
        <f>Prognoser!B8</f>
        <v>2.5000000000000001E-2</v>
      </c>
      <c r="H41" s="17" t="s">
        <v>157</v>
      </c>
      <c r="I41" s="27"/>
      <c r="J41" s="27"/>
      <c r="K41" s="27"/>
      <c r="L41" s="27"/>
      <c r="M41" s="27"/>
      <c r="N41" s="27"/>
      <c r="O41" s="27"/>
      <c r="P41" s="27"/>
      <c r="Q41" s="27"/>
      <c r="R41" s="27"/>
      <c r="S41" s="27"/>
      <c r="T41" s="27"/>
      <c r="U41" s="27"/>
      <c r="V41" s="27"/>
      <c r="W41" s="27"/>
      <c r="X41" s="27"/>
      <c r="Y41" s="27"/>
      <c r="Z41" s="27"/>
      <c r="AA41" s="27"/>
      <c r="AB41" s="27"/>
      <c r="AC41" s="27"/>
      <c r="AD41" s="27"/>
      <c r="AE41" s="27"/>
      <c r="AF41" s="27"/>
    </row>
    <row r="42" spans="1:32">
      <c r="A42" s="27"/>
      <c r="B42" s="28" t="s">
        <v>143</v>
      </c>
      <c r="C42" s="38" t="s">
        <v>144</v>
      </c>
      <c r="D42" s="8" t="s">
        <v>146</v>
      </c>
      <c r="E42" s="48" t="e">
        <f>G17/G23</f>
        <v>#DIV/0!</v>
      </c>
      <c r="F42" s="1" t="str">
        <f>IF(OR(C53="",C59=""),"",AVERAGE(C53:G53)/AVERAGE(C59:G59))</f>
        <v/>
      </c>
      <c r="G42" s="62">
        <f>Prognoser!B2</f>
        <v>2.4E-2</v>
      </c>
      <c r="H42" s="17" t="s">
        <v>147</v>
      </c>
      <c r="I42" s="27"/>
      <c r="J42" s="27"/>
      <c r="K42" s="27"/>
      <c r="L42" s="27"/>
      <c r="M42" s="27"/>
      <c r="N42" s="27"/>
      <c r="O42" s="27"/>
      <c r="P42" s="27"/>
      <c r="Q42" s="27"/>
      <c r="R42" s="27"/>
      <c r="S42" s="27"/>
      <c r="T42" s="27"/>
      <c r="U42" s="27"/>
      <c r="V42" s="27"/>
      <c r="W42" s="27"/>
      <c r="X42" s="27"/>
      <c r="Y42" s="27"/>
      <c r="Z42" s="27"/>
      <c r="AA42" s="27"/>
      <c r="AB42" s="27"/>
      <c r="AC42" s="27"/>
      <c r="AD42" s="27"/>
      <c r="AE42" s="27"/>
      <c r="AF42" s="27"/>
    </row>
    <row r="43" spans="1:32">
      <c r="A43" s="27"/>
      <c r="B43" s="28" t="s">
        <v>128</v>
      </c>
      <c r="C43" s="38" t="s">
        <v>113</v>
      </c>
      <c r="D43" s="8" t="s">
        <v>100</v>
      </c>
      <c r="E43" s="48" t="e">
        <f>G23/(G14+G15)</f>
        <v>#DIV/0!</v>
      </c>
      <c r="F43" s="1" t="str">
        <f>IF(AND(C59="",D59="",E59="",F59="",G59=""),"",IF(AND(D59="",E59="",F59="",G59="",C59&lt;&gt;""),C59/(C50+C51),IF(AND(E59="",F59="",G59="",D59&lt;&gt;""),D59/(D50+D51),IF(AND(F59="",G59="",E59&lt;&gt;""),E59/(E50+E51),IF(AND(G59="",F59&lt;&gt;""),F59/(F50+F51),G59/(G50+G51))))))</f>
        <v/>
      </c>
      <c r="G43" s="53" t="s">
        <v>129</v>
      </c>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row>
    <row r="44" spans="1:32">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row>
    <row r="45" spans="1:32">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row>
    <row r="46" spans="1:32">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row>
    <row r="47" spans="1:32">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row>
    <row r="48" spans="1:32" ht="15.75" thickBot="1">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row>
    <row r="49" spans="1:32">
      <c r="A49" s="27"/>
      <c r="B49" s="42" t="s">
        <v>66</v>
      </c>
      <c r="C49" s="72" t="s">
        <v>182</v>
      </c>
      <c r="D49" s="72" t="s">
        <v>183</v>
      </c>
      <c r="E49" s="72" t="s">
        <v>184</v>
      </c>
      <c r="F49" s="72" t="s">
        <v>186</v>
      </c>
      <c r="G49" s="72" t="s">
        <v>544</v>
      </c>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row>
    <row r="50" spans="1:32">
      <c r="A50" s="27"/>
      <c r="B50" s="28" t="s">
        <v>26</v>
      </c>
      <c r="C50" s="78"/>
      <c r="D50" s="78"/>
      <c r="E50" s="78"/>
      <c r="F50" s="78"/>
      <c r="G50" s="78"/>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row>
    <row r="51" spans="1:32">
      <c r="A51" s="27"/>
      <c r="B51" s="28" t="s">
        <v>67</v>
      </c>
      <c r="C51" s="78"/>
      <c r="D51" s="78"/>
      <c r="E51" s="78"/>
      <c r="F51" s="78"/>
      <c r="G51" s="78"/>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row>
    <row r="52" spans="1:32">
      <c r="A52" s="27"/>
      <c r="B52" s="28" t="s">
        <v>27</v>
      </c>
      <c r="C52" s="78"/>
      <c r="D52" s="78"/>
      <c r="E52" s="78"/>
      <c r="F52" s="78"/>
      <c r="G52" s="78"/>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row>
    <row r="53" spans="1:32">
      <c r="A53" s="27"/>
      <c r="B53" s="28" t="s">
        <v>68</v>
      </c>
      <c r="C53" s="78"/>
      <c r="D53" s="78"/>
      <c r="E53" s="78"/>
      <c r="F53" s="78"/>
      <c r="G53" s="78"/>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row>
    <row r="54" spans="1:32">
      <c r="A54" s="27"/>
      <c r="B54" s="28" t="s">
        <v>21</v>
      </c>
      <c r="C54" s="78"/>
      <c r="D54" s="78"/>
      <c r="E54" s="78"/>
      <c r="F54" s="78"/>
      <c r="G54" s="78"/>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row>
    <row r="55" spans="1:32">
      <c r="A55" s="27"/>
      <c r="B55" s="28" t="s">
        <v>118</v>
      </c>
      <c r="C55" s="78"/>
      <c r="D55" s="78"/>
      <c r="E55" s="78"/>
      <c r="F55" s="78"/>
      <c r="G55" s="78"/>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row>
    <row r="56" spans="1:32">
      <c r="A56" s="27"/>
      <c r="B56" s="28" t="s">
        <v>69</v>
      </c>
      <c r="C56" s="78"/>
      <c r="D56" s="78"/>
      <c r="E56" s="78"/>
      <c r="F56" s="78"/>
      <c r="G56" s="78"/>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row>
    <row r="57" spans="1:32">
      <c r="A57" s="27"/>
      <c r="B57" s="31" t="s">
        <v>167</v>
      </c>
      <c r="C57" s="78"/>
      <c r="D57" s="78"/>
      <c r="E57" s="78"/>
      <c r="F57" s="78"/>
      <c r="G57" s="78"/>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row>
    <row r="58" spans="1:32">
      <c r="A58" s="27"/>
      <c r="B58" s="28" t="s">
        <v>70</v>
      </c>
      <c r="C58" s="78"/>
      <c r="D58" s="78"/>
      <c r="E58" s="78"/>
      <c r="F58" s="78"/>
      <c r="G58" s="78"/>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row>
    <row r="59" spans="1:32">
      <c r="A59" s="27"/>
      <c r="B59" s="55" t="s">
        <v>33</v>
      </c>
      <c r="C59" s="78"/>
      <c r="D59" s="78"/>
      <c r="E59" s="78"/>
      <c r="F59" s="78"/>
      <c r="G59" s="78"/>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row>
    <row r="60" spans="1:32">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row>
    <row r="61" spans="1:32">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row>
    <row r="62" spans="1:32">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row>
    <row r="63" spans="1:32">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row>
    <row r="64" spans="1:32">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row>
    <row r="65" spans="1:32">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row>
    <row r="66" spans="1:32">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row>
    <row r="67" spans="1:32">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row>
    <row r="68" spans="1:32">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row>
    <row r="69" spans="1:32">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row>
    <row r="70" spans="1:32">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row>
    <row r="71" spans="1:32">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row>
  </sheetData>
  <sheetProtection sheet="1" objects="1" scenarios="1"/>
  <phoneticPr fontId="23" type="noConversion"/>
  <pageMargins left="0.7" right="0.7" top="0.75" bottom="0.75" header="0.3" footer="0.3"/>
  <pageSetup paperSize="9" orientation="portrait"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R86"/>
  <sheetViews>
    <sheetView zoomScale="80" zoomScaleNormal="80" workbookViewId="0">
      <selection activeCell="D13" sqref="D13"/>
    </sheetView>
  </sheetViews>
  <sheetFormatPr baseColWidth="10" defaultColWidth="0" defaultRowHeight="15" zeroHeight="1"/>
  <cols>
    <col min="1" max="1" width="25" customWidth="1"/>
    <col min="2" max="2" width="31.5703125" customWidth="1"/>
    <col min="3" max="3" width="19.7109375" customWidth="1"/>
    <col min="4" max="4" width="23.85546875" customWidth="1"/>
    <col min="5" max="5" width="13.28515625" customWidth="1"/>
    <col min="6" max="6" width="21.140625" customWidth="1"/>
    <col min="7" max="8" width="20.85546875" bestFit="1" customWidth="1"/>
    <col min="9" max="9" width="18.42578125" customWidth="1"/>
    <col min="10" max="10" width="9.42578125" customWidth="1"/>
    <col min="11" max="11" width="14.28515625" customWidth="1"/>
    <col min="12" max="12" width="44.7109375" customWidth="1"/>
    <col min="13" max="32" width="11.5703125" customWidth="1"/>
    <col min="33" max="44" width="0" hidden="1" customWidth="1"/>
    <col min="45" max="16384" width="11.5703125" hidden="1"/>
  </cols>
  <sheetData>
    <row r="1" spans="1:33" ht="21">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row>
    <row r="2" spans="1:33" ht="38.1" customHeight="1">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row>
    <row r="3" spans="1:33" ht="21.6" customHeight="1">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row>
    <row r="4" spans="1:33" ht="18.600000000000001" customHeight="1">
      <c r="A4" s="16"/>
      <c r="B4" s="20" t="s">
        <v>178</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row>
    <row r="5" spans="1:33" ht="14.45" customHeight="1">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row>
    <row r="6" spans="1:33" ht="18.75">
      <c r="A6" s="17"/>
      <c r="B6" s="21" t="str">
        <f>Prognoser!$B$19</f>
        <v/>
      </c>
      <c r="C6" s="17"/>
      <c r="D6" s="19"/>
      <c r="E6" s="19"/>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3" ht="14.45" customHeight="1" thickBot="1">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row>
    <row r="8" spans="1:33" ht="36" customHeight="1">
      <c r="A8" s="18" t="s">
        <v>59</v>
      </c>
      <c r="B8" s="23"/>
      <c r="C8" s="23"/>
      <c r="D8" s="67"/>
      <c r="E8" s="67"/>
      <c r="F8" s="67"/>
      <c r="G8" s="87" t="s">
        <v>127</v>
      </c>
      <c r="H8" s="87"/>
      <c r="I8" s="88"/>
      <c r="J8" s="17"/>
      <c r="K8" s="33" t="s">
        <v>64</v>
      </c>
      <c r="L8" s="34"/>
      <c r="M8" s="35"/>
      <c r="N8" s="17"/>
      <c r="O8" s="17"/>
      <c r="P8" s="17"/>
      <c r="Q8" s="17"/>
      <c r="R8" s="17"/>
      <c r="S8" s="17"/>
      <c r="T8" s="17"/>
      <c r="U8" s="17"/>
      <c r="V8" s="17"/>
      <c r="W8" s="17"/>
      <c r="X8" s="17"/>
      <c r="Y8" s="17"/>
      <c r="Z8" s="17"/>
      <c r="AA8" s="17"/>
      <c r="AB8" s="17"/>
      <c r="AC8" s="17"/>
      <c r="AD8" s="17"/>
      <c r="AE8" s="17"/>
      <c r="AF8" s="17"/>
      <c r="AG8" s="17"/>
    </row>
    <row r="9" spans="1:33" ht="21">
      <c r="A9" s="51"/>
      <c r="B9" s="17"/>
      <c r="C9" s="17" t="s">
        <v>548</v>
      </c>
      <c r="D9" s="68" t="s">
        <v>65</v>
      </c>
      <c r="E9" s="68" t="s">
        <v>63</v>
      </c>
      <c r="F9" s="68"/>
      <c r="G9" s="68" t="s">
        <v>543</v>
      </c>
      <c r="H9" s="68" t="s">
        <v>126</v>
      </c>
      <c r="I9" s="69" t="s">
        <v>170</v>
      </c>
      <c r="J9" s="17"/>
      <c r="K9" s="32" t="s">
        <v>77</v>
      </c>
      <c r="L9" s="17"/>
      <c r="M9" s="63" t="e">
        <f>Netdrires_rom</f>
        <v>#DIV/0!</v>
      </c>
      <c r="N9" s="17"/>
      <c r="O9" s="17"/>
      <c r="P9" s="17"/>
      <c r="Q9" s="17"/>
      <c r="R9" s="17"/>
      <c r="S9" s="17"/>
      <c r="T9" s="17"/>
      <c r="U9" s="17"/>
      <c r="V9" s="17"/>
      <c r="W9" s="17"/>
      <c r="X9" s="17"/>
      <c r="Y9" s="17"/>
      <c r="Z9" s="17"/>
      <c r="AA9" s="17"/>
      <c r="AB9" s="17"/>
      <c r="AC9" s="17"/>
      <c r="AD9" s="17"/>
      <c r="AE9" s="17"/>
      <c r="AF9" s="17"/>
      <c r="AG9" s="17"/>
    </row>
    <row r="10" spans="1:33">
      <c r="A10" s="24" t="s">
        <v>56</v>
      </c>
      <c r="B10" s="17"/>
      <c r="C10" s="22">
        <f>a_driutg</f>
        <v>0</v>
      </c>
      <c r="D10" s="79"/>
      <c r="E10" s="22">
        <f>SUMPRODUCT((kommnr_kol=Kommunenr)*(a_driutg_kol))</f>
        <v>0</v>
      </c>
      <c r="F10" s="17" t="s">
        <v>60</v>
      </c>
      <c r="G10" s="22" t="e">
        <f>Inputdata!E35</f>
        <v>#DIV/0!</v>
      </c>
      <c r="H10" s="22" t="str">
        <f>Inputdata!F35</f>
        <v/>
      </c>
      <c r="I10" s="49">
        <f>AVERAGE(a_driutg_kol)</f>
        <v>0.92328007033701698</v>
      </c>
      <c r="J10" s="17"/>
      <c r="K10" s="32" t="s">
        <v>132</v>
      </c>
      <c r="L10" s="17"/>
      <c r="M10" s="63" t="e">
        <f>Min_netdrires19</f>
        <v>#DIV/0!</v>
      </c>
      <c r="N10" s="17"/>
      <c r="O10" s="17"/>
      <c r="P10" s="17"/>
      <c r="Q10" s="17"/>
      <c r="R10" s="17"/>
      <c r="S10" s="17"/>
      <c r="T10" s="17"/>
      <c r="U10" s="17"/>
      <c r="V10" s="17"/>
      <c r="W10" s="17"/>
      <c r="X10" s="17"/>
      <c r="Y10" s="17"/>
      <c r="Z10" s="17"/>
      <c r="AA10" s="17"/>
      <c r="AB10" s="17"/>
      <c r="AC10" s="17"/>
      <c r="AD10" s="17"/>
      <c r="AE10" s="17"/>
      <c r="AF10" s="17"/>
      <c r="AG10" s="17"/>
    </row>
    <row r="11" spans="1:33">
      <c r="A11" s="24" t="s">
        <v>57</v>
      </c>
      <c r="B11" s="17"/>
      <c r="C11" s="22">
        <f>a_inv</f>
        <v>0</v>
      </c>
      <c r="D11" s="79"/>
      <c r="E11" s="22">
        <f>SUMPRODUCT((kommnr_kol=Kommunenr)*(a_inv_kol))</f>
        <v>0</v>
      </c>
      <c r="F11" s="17" t="s">
        <v>545</v>
      </c>
      <c r="G11" s="22" t="e">
        <f>Inputdata!E36</f>
        <v>#DIV/0!</v>
      </c>
      <c r="H11" s="22" t="str">
        <f>Inputdata!F36</f>
        <v/>
      </c>
      <c r="I11" s="49">
        <f>AVERAGE(a_inv_kol)</f>
        <v>0.14146530057900072</v>
      </c>
      <c r="J11" s="17"/>
      <c r="K11" s="32" t="s">
        <v>133</v>
      </c>
      <c r="L11" s="17"/>
      <c r="M11" s="63" t="e">
        <f>Minimum_disposisjonsfond</f>
        <v>#DIV/0!</v>
      </c>
      <c r="N11" s="17"/>
      <c r="O11" s="17"/>
      <c r="P11" s="17"/>
      <c r="Q11" s="17"/>
      <c r="R11" s="17"/>
      <c r="S11" s="17"/>
      <c r="T11" s="17"/>
      <c r="U11" s="17"/>
      <c r="V11" s="17"/>
      <c r="W11" s="17"/>
      <c r="X11" s="17"/>
      <c r="Y11" s="17"/>
      <c r="Z11" s="17"/>
      <c r="AA11" s="17"/>
      <c r="AB11" s="17"/>
      <c r="AC11" s="17"/>
      <c r="AD11" s="17"/>
      <c r="AE11" s="17"/>
      <c r="AF11" s="17"/>
      <c r="AG11" s="17"/>
    </row>
    <row r="12" spans="1:33" ht="14.45" customHeight="1">
      <c r="A12" s="24" t="s">
        <v>78</v>
      </c>
      <c r="B12" s="17"/>
      <c r="C12" s="22">
        <f>a_inv_innt</f>
        <v>0</v>
      </c>
      <c r="D12" s="79"/>
      <c r="E12" s="22">
        <f>SUMPRODUCT((kommnr_kol=Kommunenr)*(a_inv_innt_kol))</f>
        <v>0</v>
      </c>
      <c r="F12" s="17" t="s">
        <v>545</v>
      </c>
      <c r="G12" s="22" t="e">
        <f>Inputdata!E37</f>
        <v>#DIV/0!</v>
      </c>
      <c r="H12" s="22" t="str">
        <f>Inputdata!F37</f>
        <v/>
      </c>
      <c r="I12" s="49">
        <f>AVERAGE(a_inv_innt_kol)</f>
        <v>0.28518227366416643</v>
      </c>
      <c r="J12" s="17"/>
      <c r="K12" s="84" t="s">
        <v>134</v>
      </c>
      <c r="L12" s="85"/>
      <c r="M12" s="86" t="e">
        <f>risikojust_min_netdrires</f>
        <v>#DIV/0!</v>
      </c>
      <c r="N12" s="17"/>
      <c r="O12" s="17"/>
      <c r="P12" s="17"/>
      <c r="Q12" s="17"/>
      <c r="R12" s="17"/>
      <c r="S12" s="17"/>
      <c r="T12" s="17"/>
      <c r="U12" s="17"/>
      <c r="V12" s="17"/>
      <c r="W12" s="17"/>
      <c r="X12" s="17"/>
      <c r="Y12" s="17"/>
      <c r="Z12" s="17"/>
      <c r="AA12" s="17"/>
      <c r="AB12" s="17"/>
      <c r="AC12" s="17"/>
      <c r="AD12" s="17"/>
      <c r="AE12" s="17"/>
      <c r="AF12" s="17"/>
      <c r="AG12" s="17"/>
    </row>
    <row r="13" spans="1:33">
      <c r="A13" s="24" t="s">
        <v>58</v>
      </c>
      <c r="B13" s="17"/>
      <c r="C13" s="22">
        <f>a_avdrag</f>
        <v>0</v>
      </c>
      <c r="D13" s="79"/>
      <c r="E13" s="22">
        <f>SUMPRODUCT((kommnr_kol=Kommunenr)*(a_avdrag_kol))</f>
        <v>0</v>
      </c>
      <c r="F13" s="17" t="s">
        <v>61</v>
      </c>
      <c r="G13" s="22" t="e">
        <f>Inputdata!E38</f>
        <v>#DIV/0!</v>
      </c>
      <c r="H13" s="22" t="str">
        <f>Inputdata!F38</f>
        <v/>
      </c>
      <c r="I13" s="49">
        <f>AVERAGE(a_avdrag_kol)</f>
        <v>4.2251308188079817E-2</v>
      </c>
      <c r="J13" s="17"/>
      <c r="K13" s="84"/>
      <c r="L13" s="85"/>
      <c r="M13" s="86"/>
      <c r="N13" s="17"/>
      <c r="O13" s="17"/>
      <c r="P13" s="17"/>
      <c r="Q13" s="17"/>
      <c r="R13" s="17"/>
      <c r="S13" s="17"/>
      <c r="T13" s="17"/>
      <c r="U13" s="17"/>
      <c r="V13" s="17"/>
      <c r="W13" s="17"/>
      <c r="X13" s="17"/>
      <c r="Y13" s="17"/>
      <c r="Z13" s="17"/>
      <c r="AA13" s="17"/>
      <c r="AB13" s="17"/>
      <c r="AC13" s="17"/>
      <c r="AD13" s="17"/>
      <c r="AE13" s="17"/>
      <c r="AF13" s="17"/>
      <c r="AG13" s="17"/>
    </row>
    <row r="14" spans="1:33" ht="14.45" customHeight="1">
      <c r="A14" s="24" t="s">
        <v>62</v>
      </c>
      <c r="B14" s="17"/>
      <c r="C14" s="22">
        <f>avkastning_finansformue</f>
        <v>0</v>
      </c>
      <c r="D14" s="79"/>
      <c r="E14" s="22">
        <f>SUMPRODUCT((kommnr_kol=Kommunenr)*(avkastning_finansformue_kol))</f>
        <v>0</v>
      </c>
      <c r="F14" s="17" t="s">
        <v>60</v>
      </c>
      <c r="G14" s="22" t="e">
        <f>Inputdata!E39</f>
        <v>#DIV/0!</v>
      </c>
      <c r="H14" s="22" t="str">
        <f>Inputdata!F39</f>
        <v/>
      </c>
      <c r="I14" s="49">
        <f>AVERAGE(avkastning_finansformue_kol)</f>
        <v>2.9302297163953522E-2</v>
      </c>
      <c r="J14" s="17"/>
      <c r="K14" s="52" t="s">
        <v>130</v>
      </c>
      <c r="L14" s="54"/>
      <c r="M14" s="64" t="e">
        <f>Prognoser!G50-Prognoser!F50</f>
        <v>#DIV/0!</v>
      </c>
      <c r="N14" s="17"/>
      <c r="O14" s="17"/>
      <c r="P14" s="17"/>
      <c r="Q14" s="17"/>
      <c r="R14" s="17"/>
      <c r="S14" s="17"/>
      <c r="T14" s="17"/>
      <c r="U14" s="17"/>
      <c r="V14" s="17"/>
      <c r="W14" s="17"/>
      <c r="X14" s="17"/>
      <c r="Y14" s="17"/>
      <c r="Z14" s="17"/>
      <c r="AA14" s="17"/>
      <c r="AB14" s="17"/>
      <c r="AC14" s="17"/>
      <c r="AD14" s="17"/>
      <c r="AE14" s="17"/>
      <c r="AF14" s="17"/>
      <c r="AG14" s="17"/>
    </row>
    <row r="15" spans="1:33" ht="14.45" customHeight="1">
      <c r="A15" s="24" t="s">
        <v>141</v>
      </c>
      <c r="B15" s="17"/>
      <c r="C15" s="22">
        <f>Forventet_rente</f>
        <v>2.4E-2</v>
      </c>
      <c r="D15" s="79"/>
      <c r="E15" s="58">
        <f>Prognoser!B2</f>
        <v>2.4E-2</v>
      </c>
      <c r="F15" s="17"/>
      <c r="G15" s="22" t="e">
        <f>Inputdata!E42</f>
        <v>#DIV/0!</v>
      </c>
      <c r="H15" s="22" t="str">
        <f>Inputdata!F42</f>
        <v/>
      </c>
      <c r="I15" s="49"/>
      <c r="J15" s="17"/>
      <c r="K15" s="32"/>
      <c r="L15" s="17"/>
      <c r="M15" s="63"/>
      <c r="N15" s="17"/>
      <c r="O15" s="17"/>
      <c r="P15" s="17"/>
      <c r="Q15" s="17"/>
      <c r="R15" s="17"/>
      <c r="S15" s="17"/>
      <c r="T15" s="17"/>
      <c r="U15" s="17"/>
      <c r="V15" s="17"/>
      <c r="W15" s="17"/>
      <c r="X15" s="17"/>
      <c r="Y15" s="17"/>
      <c r="Z15" s="17"/>
      <c r="AA15" s="17"/>
      <c r="AB15" s="17"/>
      <c r="AC15" s="17"/>
      <c r="AD15" s="17"/>
      <c r="AE15" s="17"/>
      <c r="AF15" s="17"/>
      <c r="AG15" s="17"/>
    </row>
    <row r="16" spans="1:33" ht="14.45" customHeight="1" thickBot="1">
      <c r="A16" s="17" t="s">
        <v>158</v>
      </c>
      <c r="B16" s="17"/>
      <c r="C16" s="22">
        <f>Prognoser!B5</f>
        <v>0.01</v>
      </c>
      <c r="D16" s="79"/>
      <c r="E16" s="22">
        <f>Prognoser!$B$4</f>
        <v>0.01</v>
      </c>
      <c r="F16" s="17" t="s">
        <v>164</v>
      </c>
      <c r="G16" s="22" t="str">
        <f>IF(Inputdata!E40="","",Inputdata!E40)</f>
        <v/>
      </c>
      <c r="H16" s="22" t="str">
        <f>IF(Inputdata!F40="","",Inputdata!F40)</f>
        <v/>
      </c>
      <c r="I16" s="49"/>
      <c r="J16" s="17"/>
      <c r="K16" s="36" t="s">
        <v>76</v>
      </c>
      <c r="L16" s="37"/>
      <c r="M16" s="65" t="e">
        <f>M9-M12</f>
        <v>#DIV/0!</v>
      </c>
      <c r="N16" s="17"/>
      <c r="O16" s="17"/>
      <c r="P16" s="17"/>
      <c r="Q16" s="17"/>
      <c r="R16" s="17"/>
      <c r="S16" s="17"/>
      <c r="T16" s="17"/>
      <c r="U16" s="17"/>
      <c r="V16" s="17"/>
      <c r="W16" s="17"/>
      <c r="X16" s="17"/>
      <c r="Y16" s="17"/>
      <c r="Z16" s="17"/>
      <c r="AA16" s="17"/>
      <c r="AB16" s="17"/>
      <c r="AC16" s="17"/>
      <c r="AD16" s="17"/>
      <c r="AE16" s="17"/>
      <c r="AF16" s="17"/>
      <c r="AG16" s="17"/>
    </row>
    <row r="17" spans="1:33" ht="14.45" customHeight="1">
      <c r="A17" s="17" t="s">
        <v>159</v>
      </c>
      <c r="B17" s="17"/>
      <c r="C17" s="22">
        <f>Prognoser!B6</f>
        <v>2.5000000000000001E-2</v>
      </c>
      <c r="D17" s="79"/>
      <c r="E17" s="22">
        <f>Prognoser!B8</f>
        <v>2.5000000000000001E-2</v>
      </c>
      <c r="F17" s="17" t="s">
        <v>164</v>
      </c>
      <c r="G17" s="22"/>
      <c r="H17" s="22"/>
      <c r="I17" s="49"/>
      <c r="J17" s="17"/>
      <c r="K17" s="66"/>
      <c r="L17" s="17"/>
      <c r="M17" s="17"/>
      <c r="N17" s="17"/>
      <c r="O17" s="17"/>
      <c r="P17" s="17"/>
      <c r="Q17" s="17"/>
      <c r="R17" s="17"/>
      <c r="S17" s="17"/>
      <c r="T17" s="17"/>
      <c r="U17" s="17"/>
      <c r="V17" s="17"/>
      <c r="W17" s="17"/>
      <c r="X17" s="17"/>
      <c r="Y17" s="17"/>
      <c r="Z17" s="17"/>
      <c r="AA17" s="17"/>
      <c r="AB17" s="17"/>
      <c r="AC17" s="17"/>
      <c r="AD17" s="17"/>
      <c r="AE17" s="17"/>
      <c r="AF17" s="17"/>
      <c r="AG17" s="17"/>
    </row>
    <row r="18" spans="1:33" ht="14.45" customHeight="1">
      <c r="A18" s="17" t="s">
        <v>171</v>
      </c>
      <c r="B18" s="17"/>
      <c r="C18" s="22" t="e">
        <f>gjeldsandel_old</f>
        <v>#DIV/0!</v>
      </c>
      <c r="D18" s="79"/>
      <c r="E18" s="22" t="e">
        <f>Gjeldsandel_faktisk</f>
        <v>#DIV/0!</v>
      </c>
      <c r="F18" s="17" t="s">
        <v>61</v>
      </c>
      <c r="G18" s="22" t="e">
        <f>E18</f>
        <v>#DIV/0!</v>
      </c>
      <c r="H18" s="22" t="str">
        <f>IF(Inputdata!F43="","",Inputdata!F43)</f>
        <v/>
      </c>
      <c r="I18" s="49">
        <f>SUM(gjeld_kol)/(SUM(drinnt_d_kol)+SUM(renteinnt_utbytte_kol))</f>
        <v>0.95015236875004538</v>
      </c>
      <c r="J18" s="17"/>
      <c r="K18" s="66"/>
      <c r="L18" s="17"/>
      <c r="M18" s="17"/>
      <c r="N18" s="17"/>
      <c r="O18" s="17"/>
      <c r="P18" s="17"/>
      <c r="Q18" s="17"/>
      <c r="R18" s="17"/>
      <c r="S18" s="17"/>
      <c r="T18" s="17"/>
      <c r="U18" s="17"/>
      <c r="V18" s="17"/>
      <c r="W18" s="17"/>
      <c r="X18" s="17"/>
      <c r="Y18" s="17"/>
      <c r="Z18" s="17"/>
      <c r="AA18" s="17"/>
      <c r="AB18" s="17"/>
      <c r="AC18" s="17"/>
      <c r="AD18" s="17"/>
      <c r="AE18" s="17"/>
      <c r="AF18" s="17"/>
      <c r="AG18" s="17"/>
    </row>
    <row r="19" spans="1:33" ht="14.45" customHeight="1">
      <c r="A19" s="25" t="s">
        <v>174</v>
      </c>
      <c r="B19" s="25"/>
      <c r="C19" s="22">
        <f>Andel_rentebinding</f>
        <v>0</v>
      </c>
      <c r="D19" s="79"/>
      <c r="E19" s="26">
        <f>Andel_rentebinding_default</f>
        <v>0</v>
      </c>
      <c r="F19" s="25"/>
      <c r="G19" s="26"/>
      <c r="H19" s="26"/>
      <c r="I19" s="50"/>
      <c r="J19" s="17"/>
      <c r="K19" s="66"/>
      <c r="L19" s="17"/>
      <c r="M19" s="17"/>
      <c r="N19" s="17"/>
      <c r="O19" s="17"/>
      <c r="P19" s="17"/>
      <c r="Q19" s="17"/>
      <c r="R19" s="17"/>
      <c r="S19" s="17"/>
      <c r="T19" s="17"/>
      <c r="U19" s="17"/>
      <c r="V19" s="17"/>
      <c r="W19" s="17"/>
      <c r="X19" s="17"/>
      <c r="Y19" s="17"/>
      <c r="Z19" s="17"/>
      <c r="AA19" s="17"/>
      <c r="AB19" s="17"/>
      <c r="AC19" s="17"/>
      <c r="AD19" s="17"/>
      <c r="AE19" s="17"/>
      <c r="AF19" s="17"/>
      <c r="AG19" s="17"/>
    </row>
    <row r="20" spans="1:33" ht="14.45" customHeight="1">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row>
    <row r="21" spans="1:33" ht="14.45" customHeight="1">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row>
    <row r="22" spans="1:33" ht="14.45" customHeight="1">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row>
    <row r="23" spans="1:33" ht="14.45" customHeight="1">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row>
    <row r="24" spans="1:33" ht="14.45" customHeight="1">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row>
    <row r="25" spans="1:33" ht="23.45" customHeight="1">
      <c r="A25" s="16"/>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row>
    <row r="26" spans="1:33" ht="13.5" customHeight="1">
      <c r="A26" s="16"/>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row>
    <row r="27" spans="1:33" ht="13.5" customHeight="1">
      <c r="A27" s="16"/>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row>
    <row r="28" spans="1:33" ht="13.5" customHeight="1">
      <c r="A28" s="16"/>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row>
    <row r="29" spans="1:33" ht="13.5" customHeight="1">
      <c r="A29" s="16"/>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row>
    <row r="30" spans="1:33" ht="13.5" customHeight="1">
      <c r="A30" s="16"/>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row>
    <row r="31" spans="1:33" ht="13.5" customHeight="1">
      <c r="A31" s="16"/>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row>
    <row r="32" spans="1:33" ht="13.5" customHeight="1">
      <c r="A32" s="16"/>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row>
    <row r="33" spans="1:32" ht="13.5" customHeight="1">
      <c r="A33" s="16"/>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row>
    <row r="34" spans="1:32" ht="13.5" customHeight="1">
      <c r="A34" s="16"/>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row>
    <row r="35" spans="1:32" ht="13.5" customHeight="1">
      <c r="A35" s="16"/>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row>
    <row r="36" spans="1:32" ht="13.5" customHeight="1">
      <c r="A36" s="16"/>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row>
    <row r="37" spans="1:32" ht="13.5" customHeight="1">
      <c r="A37" s="16"/>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row>
    <row r="38" spans="1:32" ht="13.5" customHeight="1">
      <c r="A38" s="16"/>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row>
    <row r="39" spans="1:32" ht="13.5" customHeight="1">
      <c r="A39" s="16"/>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row>
    <row r="40" spans="1:32" ht="13.5" customHeight="1">
      <c r="A40" s="16"/>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row>
    <row r="41" spans="1:32" ht="13.5" customHeight="1">
      <c r="A41" s="16"/>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row>
    <row r="42" spans="1:32" ht="13.5" customHeight="1">
      <c r="A42" s="16"/>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row>
    <row r="43" spans="1:32" ht="13.5" customHeight="1">
      <c r="A43" s="16"/>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row>
    <row r="44" spans="1:32" ht="13.5" customHeight="1">
      <c r="A44" s="16"/>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row>
    <row r="45" spans="1:32" ht="13.5" customHeight="1">
      <c r="A45" s="16"/>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row>
    <row r="46" spans="1:32" ht="13.5" customHeight="1">
      <c r="A46" s="16"/>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row>
    <row r="47" spans="1:32" ht="13.5" customHeight="1">
      <c r="A47" s="16"/>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row>
    <row r="48" spans="1:32" ht="13.5" customHeight="1">
      <c r="A48" s="16"/>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row>
    <row r="49" spans="1:32" ht="13.5" customHeight="1">
      <c r="A49" s="16"/>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row>
    <row r="50" spans="1:32" ht="13.5" customHeight="1">
      <c r="A50" s="16"/>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row>
    <row r="51" spans="1:32" ht="13.5" customHeight="1">
      <c r="A51" s="16"/>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row>
    <row r="52" spans="1:32" ht="13.5" customHeight="1">
      <c r="A52" s="16"/>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row>
    <row r="53" spans="1:32" ht="13.5" customHeight="1">
      <c r="A53" s="16"/>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row>
    <row r="54" spans="1:32" ht="13.5" customHeight="1">
      <c r="A54" s="16"/>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row>
    <row r="55" spans="1:32" ht="13.5" customHeight="1">
      <c r="A55" s="16"/>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row>
    <row r="56" spans="1:32" ht="13.5" customHeight="1">
      <c r="A56" s="16"/>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row>
    <row r="57" spans="1:32" ht="13.5" customHeight="1">
      <c r="A57" s="16"/>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row>
    <row r="58" spans="1:32" ht="13.5" customHeight="1">
      <c r="A58" s="16"/>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row>
    <row r="59" spans="1:32" ht="13.5" customHeight="1">
      <c r="A59" s="16"/>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row>
    <row r="60" spans="1:32" ht="13.5" customHeight="1">
      <c r="A60" s="16"/>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row>
    <row r="61" spans="1:32" ht="13.5" customHeight="1">
      <c r="A61" s="16"/>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row>
    <row r="62" spans="1:32" ht="13.5" customHeight="1">
      <c r="A62" s="16"/>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row>
    <row r="63" spans="1:32" ht="13.5" customHeight="1">
      <c r="A63" s="16"/>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row>
    <row r="64" spans="1:32" ht="13.5" customHeight="1">
      <c r="A64" s="16"/>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row>
    <row r="65" spans="1:32" ht="13.5" customHeight="1">
      <c r="A65" s="16"/>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row>
    <row r="66" spans="1:32" ht="13.5" customHeight="1">
      <c r="A66" s="16"/>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row>
    <row r="67" spans="1:32" ht="13.5" customHeight="1">
      <c r="A67" s="16"/>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row>
    <row r="68" spans="1:32" ht="13.5" customHeight="1">
      <c r="A68" s="16"/>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row>
    <row r="69" spans="1:32" ht="21">
      <c r="A69" s="16"/>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row>
    <row r="70" spans="1:32" ht="12" customHeight="1">
      <c r="A70" s="16"/>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row>
    <row r="71" spans="1:32" ht="21">
      <c r="A71" s="16"/>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row>
    <row r="72" spans="1:32" ht="21">
      <c r="A72" s="16"/>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row>
    <row r="73" spans="1:32" ht="21">
      <c r="A73" s="16"/>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row>
    <row r="74" spans="1:32" ht="21">
      <c r="A74" s="16"/>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row>
    <row r="75" spans="1:32" ht="21">
      <c r="A75" s="16"/>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row>
    <row r="76" spans="1:32" ht="21">
      <c r="A76" s="16"/>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row>
    <row r="77" spans="1:32" ht="21">
      <c r="A77" s="16"/>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row>
    <row r="78" spans="1:32" ht="21">
      <c r="A78" s="16"/>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row>
    <row r="79" spans="1:32" ht="21">
      <c r="A79" s="16"/>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row>
    <row r="80" spans="1:32" ht="21">
      <c r="A80" s="16"/>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row>
    <row r="81" spans="1:32" ht="21">
      <c r="A81" s="16"/>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row>
    <row r="82" spans="1:32" ht="21">
      <c r="A82" s="16"/>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row>
    <row r="83" spans="1:32" ht="21">
      <c r="A83" s="16"/>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row>
    <row r="84" spans="1:32" ht="21">
      <c r="A84" s="16"/>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row>
    <row r="85" spans="1:32" ht="21">
      <c r="A85" s="16"/>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row>
    <row r="86" spans="1:32" ht="21">
      <c r="A86" s="16"/>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row>
  </sheetData>
  <sheetProtection sheet="1" objects="1" scenarios="1"/>
  <mergeCells count="3">
    <mergeCell ref="K12:L13"/>
    <mergeCell ref="M12:M13"/>
    <mergeCell ref="G8:I8"/>
  </mergeCells>
  <conditionalFormatting sqref="M16">
    <cfRule type="cellIs" dxfId="0" priority="1" operator="lessThan">
      <formula>0</formula>
    </cfRule>
  </conditionalFormatting>
  <pageMargins left="0.7" right="0.7" top="0.75" bottom="0.75" header="0.3" footer="0.3"/>
  <pageSetup paperSize="9" orientation="portrait" verticalDpi="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128"/>
  <sheetViews>
    <sheetView topLeftCell="A75" zoomScale="140" zoomScaleNormal="140" workbookViewId="0"/>
  </sheetViews>
  <sheetFormatPr baseColWidth="10" defaultColWidth="0" defaultRowHeight="15" zeroHeight="1"/>
  <cols>
    <col min="1" max="26" width="10.85546875" customWidth="1"/>
    <col min="27" max="39" width="0" hidden="1" customWidth="1"/>
    <col min="40" max="16384" width="10.85546875" hidden="1"/>
  </cols>
  <sheetData>
    <row r="1" spans="13:26" ht="21">
      <c r="M1" s="16"/>
      <c r="N1" s="16"/>
      <c r="O1" s="16"/>
      <c r="P1" s="16"/>
      <c r="Q1" s="16"/>
      <c r="R1" s="16"/>
      <c r="S1" s="16"/>
      <c r="T1" s="16"/>
      <c r="U1" s="16"/>
      <c r="V1" s="16"/>
      <c r="W1" s="16"/>
      <c r="X1" s="16"/>
      <c r="Y1" s="16"/>
      <c r="Z1" s="16"/>
    </row>
    <row r="2" spans="13:26" ht="21">
      <c r="M2" s="16"/>
      <c r="N2" s="16"/>
      <c r="O2" s="16"/>
      <c r="P2" s="16"/>
      <c r="Q2" s="16"/>
      <c r="R2" s="16"/>
      <c r="S2" s="16"/>
      <c r="T2" s="16"/>
      <c r="U2" s="16"/>
      <c r="V2" s="16"/>
      <c r="W2" s="16"/>
      <c r="X2" s="16"/>
      <c r="Y2" s="16"/>
      <c r="Z2" s="16"/>
    </row>
    <row r="3" spans="13:26" ht="21" hidden="1">
      <c r="M3" s="16"/>
      <c r="N3" s="16"/>
      <c r="O3" s="16"/>
      <c r="P3" s="16"/>
      <c r="Q3" s="16"/>
      <c r="R3" s="16"/>
      <c r="S3" s="16"/>
      <c r="T3" s="16"/>
      <c r="U3" s="16"/>
      <c r="V3" s="16"/>
      <c r="W3" s="16"/>
      <c r="X3" s="16"/>
      <c r="Y3" s="16"/>
      <c r="Z3" s="16"/>
    </row>
    <row r="4" spans="13:26" ht="21">
      <c r="M4" s="16"/>
      <c r="N4" s="16"/>
      <c r="O4" s="16"/>
      <c r="P4" s="16"/>
      <c r="Q4" s="16"/>
      <c r="R4" s="16"/>
      <c r="S4" s="16"/>
      <c r="T4" s="16"/>
      <c r="U4" s="16"/>
      <c r="V4" s="16"/>
      <c r="W4" s="16"/>
      <c r="X4" s="16"/>
      <c r="Y4" s="16"/>
      <c r="Z4" s="16"/>
    </row>
    <row r="5" spans="13:26" ht="21">
      <c r="M5" s="16"/>
      <c r="N5" s="16"/>
      <c r="O5" s="16"/>
      <c r="P5" s="16"/>
      <c r="Q5" s="16"/>
      <c r="R5" s="16"/>
      <c r="S5" s="16"/>
      <c r="T5" s="16"/>
      <c r="U5" s="16"/>
      <c r="V5" s="16"/>
      <c r="W5" s="16"/>
      <c r="X5" s="16"/>
      <c r="Y5" s="16"/>
      <c r="Z5" s="16"/>
    </row>
    <row r="6" spans="13:26" ht="21">
      <c r="M6" s="16"/>
      <c r="N6" s="16"/>
      <c r="O6" s="16"/>
      <c r="P6" s="16"/>
      <c r="Q6" s="16"/>
      <c r="R6" s="16"/>
      <c r="S6" s="16"/>
      <c r="T6" s="16"/>
      <c r="U6" s="16"/>
      <c r="V6" s="16"/>
      <c r="W6" s="16"/>
      <c r="X6" s="16"/>
      <c r="Y6" s="16"/>
      <c r="Z6" s="16"/>
    </row>
    <row r="7" spans="13:26" ht="21">
      <c r="M7" s="16"/>
      <c r="N7" s="16"/>
      <c r="O7" s="16"/>
      <c r="P7" s="16"/>
      <c r="Q7" s="16"/>
      <c r="R7" s="16"/>
      <c r="S7" s="16"/>
      <c r="T7" s="16"/>
      <c r="U7" s="16"/>
      <c r="V7" s="16"/>
      <c r="W7" s="16"/>
      <c r="X7" s="16"/>
      <c r="Y7" s="16"/>
      <c r="Z7" s="16"/>
    </row>
    <row r="8" spans="13:26" ht="21">
      <c r="M8" s="16"/>
      <c r="N8" s="16"/>
      <c r="O8" s="16"/>
      <c r="P8" s="16"/>
      <c r="Q8" s="16"/>
      <c r="R8" s="16"/>
      <c r="S8" s="16"/>
      <c r="T8" s="16"/>
      <c r="U8" s="16"/>
      <c r="V8" s="16"/>
      <c r="W8" s="16"/>
      <c r="X8" s="16"/>
      <c r="Y8" s="16"/>
      <c r="Z8" s="16"/>
    </row>
    <row r="9" spans="13:26" ht="21">
      <c r="M9" s="16"/>
      <c r="N9" s="16"/>
      <c r="O9" s="16"/>
      <c r="P9" s="16"/>
      <c r="Q9" s="16"/>
      <c r="R9" s="16"/>
      <c r="S9" s="16"/>
      <c r="T9" s="16"/>
      <c r="U9" s="16"/>
      <c r="V9" s="16"/>
      <c r="W9" s="16"/>
      <c r="X9" s="16"/>
      <c r="Y9" s="16"/>
      <c r="Z9" s="16"/>
    </row>
    <row r="10" spans="13:26" ht="21">
      <c r="M10" s="16"/>
      <c r="N10" s="16"/>
      <c r="O10" s="16"/>
      <c r="P10" s="16"/>
      <c r="Q10" s="16"/>
      <c r="R10" s="16"/>
      <c r="S10" s="16"/>
      <c r="T10" s="16"/>
      <c r="U10" s="16"/>
      <c r="V10" s="16"/>
      <c r="W10" s="16"/>
      <c r="X10" s="16"/>
      <c r="Y10" s="16"/>
      <c r="Z10" s="16"/>
    </row>
    <row r="11" spans="13:26" ht="21">
      <c r="M11" s="16"/>
      <c r="N11" s="16"/>
      <c r="O11" s="16"/>
      <c r="P11" s="16"/>
      <c r="Q11" s="16"/>
      <c r="R11" s="16"/>
      <c r="S11" s="16"/>
      <c r="T11" s="16"/>
      <c r="U11" s="16"/>
      <c r="V11" s="16"/>
      <c r="W11" s="16"/>
      <c r="X11" s="16"/>
      <c r="Y11" s="16"/>
      <c r="Z11" s="16"/>
    </row>
    <row r="12" spans="13:26" ht="21">
      <c r="M12" s="16"/>
      <c r="N12" s="16"/>
      <c r="O12" s="16"/>
      <c r="P12" s="16"/>
      <c r="Q12" s="16"/>
      <c r="R12" s="16"/>
      <c r="S12" s="16"/>
      <c r="T12" s="16"/>
      <c r="U12" s="16"/>
      <c r="V12" s="16"/>
      <c r="W12" s="16"/>
      <c r="X12" s="16"/>
      <c r="Y12" s="16"/>
      <c r="Z12" s="16"/>
    </row>
    <row r="13" spans="13:26" ht="21">
      <c r="M13" s="16"/>
      <c r="N13" s="16"/>
      <c r="O13" s="16"/>
      <c r="P13" s="16"/>
      <c r="Q13" s="16"/>
      <c r="R13" s="16"/>
      <c r="S13" s="16"/>
      <c r="T13" s="16"/>
      <c r="U13" s="16"/>
      <c r="V13" s="16"/>
      <c r="W13" s="16"/>
      <c r="X13" s="16"/>
      <c r="Y13" s="16"/>
      <c r="Z13" s="16"/>
    </row>
    <row r="14" spans="13:26" ht="21">
      <c r="M14" s="16"/>
      <c r="N14" s="16"/>
      <c r="O14" s="16"/>
      <c r="P14" s="16"/>
      <c r="Q14" s="16"/>
      <c r="R14" s="16"/>
      <c r="S14" s="16"/>
      <c r="T14" s="16"/>
      <c r="U14" s="16"/>
      <c r="V14" s="16"/>
      <c r="W14" s="16"/>
      <c r="X14" s="16"/>
      <c r="Y14" s="16"/>
      <c r="Z14" s="16"/>
    </row>
    <row r="15" spans="13:26" ht="21">
      <c r="M15" s="16"/>
      <c r="N15" s="16"/>
      <c r="O15" s="16"/>
      <c r="P15" s="16"/>
      <c r="Q15" s="16"/>
      <c r="R15" s="16"/>
      <c r="S15" s="16"/>
      <c r="T15" s="16"/>
      <c r="U15" s="16"/>
      <c r="V15" s="16"/>
      <c r="W15" s="16"/>
      <c r="X15" s="16"/>
      <c r="Y15" s="16"/>
      <c r="Z15" s="16"/>
    </row>
    <row r="16" spans="13:26" ht="21">
      <c r="M16" s="16"/>
      <c r="N16" s="16"/>
      <c r="O16" s="16"/>
      <c r="P16" s="16"/>
      <c r="Q16" s="16"/>
      <c r="R16" s="16"/>
      <c r="S16" s="16"/>
      <c r="T16" s="16"/>
      <c r="U16" s="16"/>
      <c r="V16" s="16"/>
      <c r="W16" s="16"/>
      <c r="X16" s="16"/>
      <c r="Y16" s="16"/>
      <c r="Z16" s="16"/>
    </row>
    <row r="17" spans="13:26" ht="21">
      <c r="M17" s="16"/>
      <c r="N17" s="16"/>
      <c r="O17" s="16"/>
      <c r="P17" s="16"/>
      <c r="Q17" s="16"/>
      <c r="R17" s="16"/>
      <c r="S17" s="16"/>
      <c r="T17" s="16"/>
      <c r="U17" s="16"/>
      <c r="V17" s="16"/>
      <c r="W17" s="16"/>
      <c r="X17" s="16"/>
      <c r="Y17" s="16"/>
      <c r="Z17" s="16"/>
    </row>
    <row r="18" spans="13:26" ht="21">
      <c r="M18" s="16"/>
      <c r="N18" s="16"/>
      <c r="O18" s="16"/>
      <c r="P18" s="16"/>
      <c r="Q18" s="16"/>
      <c r="R18" s="16"/>
      <c r="S18" s="16"/>
      <c r="T18" s="16"/>
      <c r="U18" s="16"/>
      <c r="V18" s="16"/>
      <c r="W18" s="16"/>
      <c r="X18" s="16"/>
      <c r="Y18" s="16"/>
      <c r="Z18" s="16"/>
    </row>
    <row r="19" spans="13:26" ht="21">
      <c r="M19" s="16"/>
      <c r="N19" s="16"/>
      <c r="O19" s="16"/>
      <c r="P19" s="16"/>
      <c r="Q19" s="16"/>
      <c r="R19" s="16"/>
      <c r="S19" s="16"/>
      <c r="T19" s="16"/>
      <c r="U19" s="16"/>
      <c r="V19" s="16"/>
      <c r="W19" s="16"/>
      <c r="X19" s="16"/>
      <c r="Y19" s="16"/>
      <c r="Z19" s="16"/>
    </row>
    <row r="20" spans="13:26" ht="21">
      <c r="M20" s="16"/>
      <c r="N20" s="16"/>
      <c r="O20" s="16"/>
      <c r="P20" s="16"/>
      <c r="Q20" s="16"/>
      <c r="R20" s="16"/>
      <c r="S20" s="16"/>
      <c r="T20" s="16"/>
      <c r="U20" s="16"/>
      <c r="V20" s="16"/>
      <c r="W20" s="16"/>
      <c r="X20" s="16"/>
      <c r="Y20" s="16"/>
      <c r="Z20" s="16"/>
    </row>
    <row r="21" spans="13:26" ht="21">
      <c r="M21" s="16"/>
      <c r="N21" s="16"/>
      <c r="O21" s="16"/>
      <c r="P21" s="16"/>
      <c r="Q21" s="16"/>
      <c r="R21" s="16"/>
      <c r="S21" s="16"/>
      <c r="T21" s="16"/>
      <c r="U21" s="16"/>
      <c r="V21" s="16"/>
      <c r="W21" s="16"/>
      <c r="X21" s="16"/>
      <c r="Y21" s="16"/>
      <c r="Z21" s="16"/>
    </row>
    <row r="22" spans="13:26" ht="21">
      <c r="M22" s="16"/>
      <c r="N22" s="16"/>
      <c r="O22" s="16"/>
      <c r="P22" s="16"/>
      <c r="Q22" s="16"/>
      <c r="R22" s="16"/>
      <c r="S22" s="16"/>
      <c r="T22" s="16"/>
      <c r="U22" s="16"/>
      <c r="V22" s="16"/>
      <c r="W22" s="16"/>
      <c r="X22" s="16"/>
      <c r="Y22" s="16"/>
      <c r="Z22" s="16"/>
    </row>
    <row r="23" spans="13:26" ht="21">
      <c r="M23" s="16"/>
      <c r="N23" s="16"/>
      <c r="O23" s="16"/>
      <c r="P23" s="16"/>
      <c r="Q23" s="16"/>
      <c r="R23" s="16"/>
      <c r="S23" s="16"/>
      <c r="T23" s="16"/>
      <c r="U23" s="16"/>
      <c r="V23" s="16"/>
      <c r="W23" s="16"/>
      <c r="X23" s="16"/>
      <c r="Y23" s="16"/>
      <c r="Z23" s="16"/>
    </row>
    <row r="24" spans="13:26" ht="21">
      <c r="M24" s="16"/>
      <c r="N24" s="16"/>
      <c r="O24" s="16"/>
      <c r="P24" s="16"/>
      <c r="Q24" s="16"/>
      <c r="R24" s="16"/>
      <c r="S24" s="16"/>
      <c r="T24" s="16"/>
      <c r="U24" s="16"/>
      <c r="V24" s="16"/>
      <c r="W24" s="16"/>
      <c r="X24" s="16"/>
      <c r="Y24" s="16"/>
      <c r="Z24" s="16"/>
    </row>
    <row r="25" spans="13:26" ht="21">
      <c r="M25" s="16"/>
      <c r="N25" s="16"/>
      <c r="O25" s="16"/>
      <c r="P25" s="16"/>
      <c r="Q25" s="16"/>
      <c r="R25" s="16"/>
      <c r="S25" s="16"/>
      <c r="T25" s="16"/>
      <c r="U25" s="16"/>
      <c r="V25" s="16"/>
      <c r="W25" s="16"/>
      <c r="X25" s="16"/>
      <c r="Y25" s="16"/>
      <c r="Z25" s="16"/>
    </row>
    <row r="26" spans="13:26" ht="21">
      <c r="M26" s="16"/>
      <c r="N26" s="16"/>
      <c r="O26" s="16"/>
      <c r="P26" s="16"/>
      <c r="Q26" s="16"/>
      <c r="R26" s="16"/>
      <c r="S26" s="16"/>
      <c r="T26" s="16"/>
      <c r="U26" s="16"/>
      <c r="V26" s="16"/>
      <c r="W26" s="16"/>
      <c r="X26" s="16"/>
      <c r="Y26" s="16"/>
      <c r="Z26" s="16"/>
    </row>
    <row r="27" spans="13:26" ht="21">
      <c r="M27" s="16"/>
      <c r="N27" s="16"/>
      <c r="O27" s="16"/>
      <c r="P27" s="16"/>
      <c r="Q27" s="16"/>
      <c r="R27" s="16"/>
      <c r="S27" s="16"/>
      <c r="T27" s="16"/>
      <c r="U27" s="16"/>
      <c r="V27" s="16"/>
      <c r="W27" s="16"/>
      <c r="X27" s="16"/>
      <c r="Y27" s="16"/>
      <c r="Z27" s="16"/>
    </row>
    <row r="28" spans="13:26" ht="21">
      <c r="M28" s="16"/>
      <c r="N28" s="16"/>
      <c r="O28" s="16"/>
      <c r="P28" s="16"/>
      <c r="Q28" s="16"/>
      <c r="R28" s="16"/>
      <c r="S28" s="16"/>
      <c r="T28" s="16"/>
      <c r="U28" s="16"/>
      <c r="V28" s="16"/>
      <c r="W28" s="16"/>
      <c r="X28" s="16"/>
      <c r="Y28" s="16"/>
      <c r="Z28" s="16"/>
    </row>
    <row r="29" spans="13:26" ht="21">
      <c r="M29" s="16"/>
      <c r="N29" s="16"/>
      <c r="O29" s="16"/>
      <c r="P29" s="16"/>
      <c r="Q29" s="16"/>
      <c r="R29" s="16"/>
      <c r="S29" s="16"/>
      <c r="T29" s="16"/>
      <c r="U29" s="16"/>
      <c r="V29" s="16"/>
      <c r="W29" s="16"/>
      <c r="X29" s="16"/>
      <c r="Y29" s="16"/>
      <c r="Z29" s="16"/>
    </row>
    <row r="30" spans="13:26" ht="21">
      <c r="M30" s="16"/>
      <c r="N30" s="16"/>
      <c r="O30" s="16"/>
      <c r="P30" s="16"/>
      <c r="Q30" s="16"/>
      <c r="R30" s="16"/>
      <c r="S30" s="16"/>
      <c r="T30" s="16"/>
      <c r="U30" s="16"/>
      <c r="V30" s="16"/>
      <c r="W30" s="16"/>
      <c r="X30" s="16"/>
      <c r="Y30" s="16"/>
      <c r="Z30" s="16"/>
    </row>
    <row r="31" spans="13:26" ht="21">
      <c r="M31" s="16"/>
      <c r="N31" s="16"/>
      <c r="O31" s="16"/>
      <c r="P31" s="16"/>
      <c r="Q31" s="16"/>
      <c r="R31" s="16"/>
      <c r="S31" s="16"/>
      <c r="T31" s="16"/>
      <c r="U31" s="16"/>
      <c r="V31" s="16"/>
      <c r="W31" s="16"/>
      <c r="X31" s="16"/>
      <c r="Y31" s="16"/>
      <c r="Z31" s="16"/>
    </row>
    <row r="32" spans="13:26" ht="21">
      <c r="M32" s="16"/>
      <c r="N32" s="16"/>
      <c r="O32" s="16"/>
      <c r="P32" s="16"/>
      <c r="Q32" s="16"/>
      <c r="R32" s="16"/>
      <c r="S32" s="16"/>
      <c r="T32" s="16"/>
      <c r="U32" s="16"/>
      <c r="V32" s="16"/>
      <c r="W32" s="16"/>
      <c r="X32" s="16"/>
      <c r="Y32" s="16"/>
      <c r="Z32" s="16"/>
    </row>
    <row r="33" spans="13:26" ht="21">
      <c r="M33" s="16"/>
      <c r="N33" s="16"/>
      <c r="O33" s="16"/>
      <c r="P33" s="16"/>
      <c r="Q33" s="16"/>
      <c r="R33" s="16"/>
      <c r="S33" s="16"/>
      <c r="T33" s="16"/>
      <c r="U33" s="16"/>
      <c r="V33" s="16"/>
      <c r="W33" s="16"/>
      <c r="X33" s="16"/>
      <c r="Y33" s="16"/>
      <c r="Z33" s="16"/>
    </row>
    <row r="34" spans="13:26" ht="21">
      <c r="M34" s="16"/>
      <c r="N34" s="16"/>
      <c r="O34" s="16"/>
      <c r="P34" s="16"/>
      <c r="Q34" s="16"/>
      <c r="R34" s="16"/>
      <c r="S34" s="16"/>
      <c r="T34" s="16"/>
      <c r="U34" s="16"/>
      <c r="V34" s="16"/>
      <c r="W34" s="16"/>
      <c r="X34" s="16"/>
      <c r="Y34" s="16"/>
      <c r="Z34" s="16"/>
    </row>
    <row r="35" spans="13:26" ht="21">
      <c r="M35" s="16"/>
      <c r="N35" s="16"/>
      <c r="O35" s="16"/>
      <c r="P35" s="16"/>
      <c r="Q35" s="16"/>
      <c r="R35" s="16"/>
      <c r="S35" s="16"/>
      <c r="T35" s="16"/>
      <c r="U35" s="16"/>
      <c r="V35" s="16"/>
      <c r="W35" s="16"/>
      <c r="X35" s="16"/>
      <c r="Y35" s="16"/>
      <c r="Z35" s="16"/>
    </row>
    <row r="36" spans="13:26" ht="21">
      <c r="M36" s="16"/>
      <c r="N36" s="16"/>
      <c r="O36" s="16"/>
      <c r="P36" s="16"/>
      <c r="Q36" s="16"/>
      <c r="R36" s="16"/>
      <c r="S36" s="16"/>
      <c r="T36" s="16"/>
      <c r="U36" s="16"/>
      <c r="V36" s="16"/>
      <c r="W36" s="16"/>
      <c r="X36" s="16"/>
      <c r="Y36" s="16"/>
      <c r="Z36" s="16"/>
    </row>
    <row r="37" spans="13:26" ht="21">
      <c r="M37" s="16"/>
      <c r="N37" s="16"/>
      <c r="O37" s="16"/>
      <c r="P37" s="16"/>
      <c r="Q37" s="16"/>
      <c r="R37" s="16"/>
      <c r="S37" s="16"/>
      <c r="T37" s="16"/>
      <c r="U37" s="16"/>
      <c r="V37" s="16"/>
      <c r="W37" s="16"/>
      <c r="X37" s="16"/>
      <c r="Y37" s="16"/>
      <c r="Z37" s="16"/>
    </row>
    <row r="38" spans="13:26" ht="21">
      <c r="M38" s="16"/>
      <c r="N38" s="16"/>
      <c r="O38" s="16"/>
      <c r="P38" s="16"/>
      <c r="Q38" s="16"/>
      <c r="R38" s="16"/>
      <c r="S38" s="16"/>
      <c r="T38" s="16"/>
      <c r="U38" s="16"/>
      <c r="V38" s="16"/>
      <c r="W38" s="16"/>
      <c r="X38" s="16"/>
      <c r="Y38" s="16"/>
      <c r="Z38" s="16"/>
    </row>
    <row r="39" spans="13:26" ht="21">
      <c r="M39" s="16"/>
      <c r="N39" s="16"/>
      <c r="O39" s="16"/>
      <c r="P39" s="16"/>
      <c r="Q39" s="16"/>
      <c r="R39" s="16"/>
      <c r="S39" s="16"/>
      <c r="T39" s="16"/>
      <c r="U39" s="16"/>
      <c r="V39" s="16"/>
      <c r="W39" s="16"/>
      <c r="X39" s="16"/>
      <c r="Y39" s="16"/>
      <c r="Z39" s="16"/>
    </row>
    <row r="40" spans="13:26" ht="21">
      <c r="M40" s="16"/>
      <c r="N40" s="16"/>
      <c r="O40" s="16"/>
      <c r="P40" s="16"/>
      <c r="Q40" s="16"/>
      <c r="R40" s="16"/>
      <c r="S40" s="16"/>
      <c r="T40" s="16"/>
      <c r="U40" s="16"/>
      <c r="V40" s="16"/>
      <c r="W40" s="16"/>
      <c r="X40" s="16"/>
      <c r="Y40" s="16"/>
      <c r="Z40" s="16"/>
    </row>
    <row r="41" spans="13:26" ht="21">
      <c r="M41" s="16"/>
      <c r="N41" s="16"/>
      <c r="O41" s="16"/>
      <c r="P41" s="16"/>
      <c r="Q41" s="16"/>
      <c r="R41" s="16"/>
      <c r="S41" s="16"/>
      <c r="T41" s="16"/>
      <c r="U41" s="16"/>
      <c r="V41" s="16"/>
      <c r="W41" s="16"/>
      <c r="X41" s="16"/>
      <c r="Y41" s="16"/>
      <c r="Z41" s="16"/>
    </row>
    <row r="42" spans="13:26" ht="21">
      <c r="M42" s="16"/>
      <c r="N42" s="16"/>
      <c r="O42" s="16"/>
      <c r="P42" s="16"/>
      <c r="Q42" s="16"/>
      <c r="R42" s="16"/>
      <c r="S42" s="16"/>
      <c r="T42" s="16"/>
      <c r="U42" s="16"/>
      <c r="V42" s="16"/>
      <c r="W42" s="16"/>
      <c r="X42" s="16"/>
      <c r="Y42" s="16"/>
      <c r="Z42" s="16"/>
    </row>
    <row r="43" spans="13:26" ht="21">
      <c r="M43" s="16"/>
      <c r="N43" s="16"/>
      <c r="O43" s="16"/>
      <c r="P43" s="16"/>
      <c r="Q43" s="16"/>
      <c r="R43" s="16"/>
      <c r="S43" s="16"/>
      <c r="T43" s="16"/>
      <c r="U43" s="16"/>
      <c r="V43" s="16"/>
      <c r="W43" s="16"/>
      <c r="X43" s="16"/>
      <c r="Y43" s="16"/>
      <c r="Z43" s="16"/>
    </row>
    <row r="44" spans="13:26" ht="21">
      <c r="M44" s="16"/>
      <c r="N44" s="16"/>
      <c r="O44" s="16"/>
      <c r="P44" s="16"/>
      <c r="Q44" s="16"/>
      <c r="R44" s="16"/>
      <c r="S44" s="16"/>
      <c r="T44" s="16"/>
      <c r="U44" s="16"/>
      <c r="V44" s="16"/>
      <c r="W44" s="16"/>
      <c r="X44" s="16"/>
      <c r="Y44" s="16"/>
      <c r="Z44" s="16"/>
    </row>
    <row r="45" spans="13:26" ht="21">
      <c r="M45" s="16"/>
      <c r="N45" s="16"/>
      <c r="O45" s="16"/>
      <c r="P45" s="16"/>
      <c r="Q45" s="16"/>
      <c r="R45" s="16"/>
      <c r="S45" s="16"/>
      <c r="T45" s="16"/>
      <c r="U45" s="16"/>
      <c r="V45" s="16"/>
      <c r="W45" s="16"/>
      <c r="X45" s="16"/>
      <c r="Y45" s="16"/>
      <c r="Z45" s="16"/>
    </row>
    <row r="46" spans="13:26" ht="21">
      <c r="M46" s="16"/>
      <c r="N46" s="16"/>
      <c r="O46" s="16"/>
      <c r="P46" s="16"/>
      <c r="Q46" s="16"/>
      <c r="R46" s="16"/>
      <c r="S46" s="16"/>
      <c r="T46" s="16"/>
      <c r="U46" s="16"/>
      <c r="V46" s="16"/>
      <c r="W46" s="16"/>
      <c r="X46" s="16"/>
      <c r="Y46" s="16"/>
      <c r="Z46" s="16"/>
    </row>
    <row r="47" spans="13:26" ht="21">
      <c r="M47" s="16"/>
      <c r="N47" s="16"/>
      <c r="O47" s="16"/>
      <c r="P47" s="16"/>
      <c r="Q47" s="16"/>
      <c r="R47" s="16"/>
      <c r="S47" s="16"/>
      <c r="T47" s="16"/>
      <c r="U47" s="16"/>
      <c r="V47" s="16"/>
      <c r="W47" s="16"/>
      <c r="X47" s="16"/>
      <c r="Y47" s="16"/>
      <c r="Z47" s="16"/>
    </row>
    <row r="48" spans="13:26" ht="21">
      <c r="M48" s="16"/>
      <c r="N48" s="16"/>
      <c r="O48" s="16"/>
      <c r="P48" s="16"/>
      <c r="Q48" s="16"/>
      <c r="R48" s="16"/>
      <c r="S48" s="16"/>
      <c r="T48" s="16"/>
      <c r="U48" s="16"/>
      <c r="V48" s="16"/>
      <c r="W48" s="16"/>
      <c r="X48" s="16"/>
      <c r="Y48" s="16"/>
      <c r="Z48" s="16"/>
    </row>
    <row r="49" spans="13:26" ht="21">
      <c r="M49" s="16"/>
      <c r="N49" s="16"/>
      <c r="O49" s="16"/>
      <c r="P49" s="16"/>
      <c r="Q49" s="16"/>
      <c r="R49" s="16"/>
      <c r="S49" s="16"/>
      <c r="T49" s="16"/>
      <c r="U49" s="16"/>
      <c r="V49" s="16"/>
      <c r="W49" s="16"/>
      <c r="X49" s="16"/>
      <c r="Y49" s="16"/>
      <c r="Z49" s="16"/>
    </row>
    <row r="50" spans="13:26" ht="21">
      <c r="M50" s="16"/>
      <c r="N50" s="16"/>
      <c r="O50" s="16"/>
      <c r="P50" s="16"/>
      <c r="Q50" s="16"/>
      <c r="R50" s="16"/>
      <c r="S50" s="16"/>
      <c r="T50" s="16"/>
      <c r="U50" s="16"/>
      <c r="V50" s="16"/>
      <c r="W50" s="16"/>
      <c r="X50" s="16"/>
      <c r="Y50" s="16"/>
      <c r="Z50" s="16"/>
    </row>
    <row r="51" spans="13:26" ht="21">
      <c r="M51" s="16"/>
      <c r="N51" s="16"/>
      <c r="O51" s="16"/>
      <c r="P51" s="16"/>
      <c r="Q51" s="16"/>
      <c r="R51" s="16"/>
      <c r="S51" s="16"/>
      <c r="T51" s="16"/>
      <c r="U51" s="16"/>
      <c r="V51" s="16"/>
      <c r="W51" s="16"/>
      <c r="X51" s="16"/>
      <c r="Y51" s="16"/>
      <c r="Z51" s="16"/>
    </row>
    <row r="52" spans="13:26" ht="21">
      <c r="M52" s="16"/>
      <c r="N52" s="16"/>
      <c r="O52" s="16"/>
      <c r="P52" s="16"/>
      <c r="Q52" s="16"/>
      <c r="R52" s="16"/>
      <c r="S52" s="16"/>
      <c r="T52" s="16"/>
      <c r="U52" s="16"/>
      <c r="V52" s="16"/>
      <c r="W52" s="16"/>
      <c r="X52" s="16"/>
      <c r="Y52" s="16"/>
      <c r="Z52" s="16"/>
    </row>
    <row r="53" spans="13:26" ht="21">
      <c r="M53" s="16"/>
      <c r="N53" s="16"/>
      <c r="O53" s="16"/>
      <c r="P53" s="16"/>
      <c r="Q53" s="16"/>
      <c r="R53" s="16"/>
      <c r="S53" s="16"/>
      <c r="T53" s="16"/>
      <c r="U53" s="16"/>
      <c r="V53" s="16"/>
      <c r="W53" s="16"/>
      <c r="X53" s="16"/>
      <c r="Y53" s="16"/>
      <c r="Z53" s="16"/>
    </row>
    <row r="54" spans="13:26" ht="21">
      <c r="M54" s="16"/>
      <c r="N54" s="16"/>
      <c r="O54" s="16"/>
      <c r="P54" s="16"/>
      <c r="Q54" s="16"/>
      <c r="R54" s="16"/>
      <c r="S54" s="16"/>
      <c r="T54" s="16"/>
      <c r="U54" s="16"/>
      <c r="V54" s="16"/>
      <c r="W54" s="16"/>
      <c r="X54" s="16"/>
      <c r="Y54" s="16"/>
      <c r="Z54" s="16"/>
    </row>
    <row r="55" spans="13:26" ht="21">
      <c r="M55" s="16"/>
      <c r="N55" s="16"/>
      <c r="O55" s="16"/>
      <c r="P55" s="16"/>
      <c r="Q55" s="16"/>
      <c r="R55" s="16"/>
      <c r="S55" s="16"/>
      <c r="T55" s="16"/>
      <c r="U55" s="16"/>
      <c r="V55" s="16"/>
      <c r="W55" s="16"/>
      <c r="X55" s="16"/>
      <c r="Y55" s="16"/>
      <c r="Z55" s="16"/>
    </row>
    <row r="56" spans="13:26" ht="21">
      <c r="M56" s="16"/>
      <c r="N56" s="16"/>
      <c r="O56" s="16"/>
      <c r="P56" s="16"/>
      <c r="Q56" s="16"/>
      <c r="R56" s="16"/>
      <c r="S56" s="16"/>
      <c r="T56" s="16"/>
      <c r="U56" s="16"/>
      <c r="V56" s="16"/>
      <c r="W56" s="16"/>
      <c r="X56" s="16"/>
      <c r="Y56" s="16"/>
      <c r="Z56" s="16"/>
    </row>
    <row r="57" spans="13:26" ht="21">
      <c r="M57" s="16"/>
      <c r="N57" s="16"/>
      <c r="O57" s="16"/>
      <c r="P57" s="16"/>
      <c r="Q57" s="16"/>
      <c r="R57" s="16"/>
      <c r="S57" s="16"/>
      <c r="T57" s="16"/>
      <c r="U57" s="16"/>
      <c r="V57" s="16"/>
      <c r="W57" s="16"/>
      <c r="X57" s="16"/>
      <c r="Y57" s="16"/>
      <c r="Z57" s="16"/>
    </row>
    <row r="58" spans="13:26" ht="21">
      <c r="M58" s="16"/>
      <c r="N58" s="16"/>
      <c r="O58" s="16"/>
      <c r="P58" s="16"/>
      <c r="Q58" s="16"/>
      <c r="R58" s="16"/>
      <c r="S58" s="16"/>
      <c r="T58" s="16"/>
      <c r="U58" s="16"/>
      <c r="V58" s="16"/>
      <c r="W58" s="16"/>
      <c r="X58" s="16"/>
      <c r="Y58" s="16"/>
      <c r="Z58" s="16"/>
    </row>
    <row r="59" spans="13:26" ht="21">
      <c r="M59" s="16"/>
      <c r="N59" s="16"/>
      <c r="O59" s="16"/>
      <c r="P59" s="16"/>
      <c r="Q59" s="16"/>
      <c r="R59" s="16"/>
      <c r="S59" s="16"/>
      <c r="T59" s="16"/>
      <c r="U59" s="16"/>
      <c r="V59" s="16"/>
      <c r="W59" s="16"/>
      <c r="X59" s="16"/>
      <c r="Y59" s="16"/>
      <c r="Z59" s="16"/>
    </row>
    <row r="60" spans="13:26" ht="21">
      <c r="M60" s="16"/>
      <c r="N60" s="16"/>
      <c r="O60" s="16"/>
      <c r="P60" s="16"/>
      <c r="Q60" s="16"/>
      <c r="R60" s="16"/>
      <c r="S60" s="16"/>
      <c r="T60" s="16"/>
      <c r="U60" s="16"/>
      <c r="V60" s="16"/>
      <c r="W60" s="16"/>
      <c r="X60" s="16"/>
      <c r="Y60" s="16"/>
      <c r="Z60" s="16"/>
    </row>
    <row r="61" spans="13:26" ht="21">
      <c r="M61" s="16"/>
      <c r="N61" s="16"/>
      <c r="O61" s="16"/>
      <c r="P61" s="16"/>
      <c r="Q61" s="16"/>
      <c r="R61" s="16"/>
      <c r="S61" s="16"/>
      <c r="T61" s="16"/>
      <c r="U61" s="16"/>
      <c r="V61" s="16"/>
      <c r="W61" s="16"/>
      <c r="X61" s="16"/>
      <c r="Y61" s="16"/>
      <c r="Z61" s="16"/>
    </row>
    <row r="62" spans="13:26" ht="21">
      <c r="M62" s="16"/>
      <c r="N62" s="16"/>
      <c r="O62" s="16"/>
      <c r="P62" s="16"/>
      <c r="Q62" s="16"/>
      <c r="R62" s="16"/>
      <c r="S62" s="16"/>
      <c r="T62" s="16"/>
      <c r="U62" s="16"/>
      <c r="V62" s="16"/>
      <c r="W62" s="16"/>
      <c r="X62" s="16"/>
      <c r="Y62" s="16"/>
      <c r="Z62" s="16"/>
    </row>
    <row r="63" spans="13:26" ht="21">
      <c r="M63" s="16"/>
      <c r="N63" s="16"/>
      <c r="O63" s="16"/>
      <c r="P63" s="16"/>
      <c r="Q63" s="16"/>
      <c r="R63" s="16"/>
      <c r="S63" s="16"/>
      <c r="T63" s="16"/>
      <c r="U63" s="16"/>
      <c r="V63" s="16"/>
      <c r="W63" s="16"/>
      <c r="X63" s="16"/>
      <c r="Y63" s="16"/>
      <c r="Z63" s="16"/>
    </row>
    <row r="64" spans="13:26" ht="21">
      <c r="M64" s="16"/>
      <c r="N64" s="16"/>
      <c r="O64" s="16"/>
      <c r="P64" s="16"/>
      <c r="Q64" s="16"/>
      <c r="R64" s="16"/>
      <c r="S64" s="16"/>
      <c r="T64" s="16"/>
      <c r="U64" s="16"/>
      <c r="V64" s="16"/>
      <c r="W64" s="16"/>
      <c r="X64" s="16"/>
      <c r="Y64" s="16"/>
      <c r="Z64" s="16"/>
    </row>
    <row r="65" spans="13:26" ht="21">
      <c r="M65" s="16"/>
      <c r="N65" s="16"/>
      <c r="O65" s="16"/>
      <c r="P65" s="16"/>
      <c r="Q65" s="16"/>
      <c r="R65" s="16"/>
      <c r="S65" s="16"/>
      <c r="T65" s="16"/>
      <c r="U65" s="16"/>
      <c r="V65" s="16"/>
      <c r="W65" s="16"/>
      <c r="X65" s="16"/>
      <c r="Y65" s="16"/>
      <c r="Z65" s="16"/>
    </row>
    <row r="66" spans="13:26" ht="21">
      <c r="M66" s="16"/>
      <c r="N66" s="16"/>
      <c r="O66" s="16"/>
      <c r="P66" s="16"/>
      <c r="Q66" s="16"/>
      <c r="R66" s="16"/>
      <c r="S66" s="16"/>
      <c r="T66" s="16"/>
      <c r="U66" s="16"/>
      <c r="V66" s="16"/>
      <c r="W66" s="16"/>
      <c r="X66" s="16"/>
      <c r="Y66" s="16"/>
      <c r="Z66" s="16"/>
    </row>
    <row r="67" spans="13:26" ht="21">
      <c r="M67" s="16"/>
      <c r="N67" s="16"/>
      <c r="O67" s="16"/>
      <c r="P67" s="16"/>
      <c r="Q67" s="16"/>
      <c r="R67" s="16"/>
      <c r="S67" s="16"/>
      <c r="T67" s="16"/>
      <c r="U67" s="16"/>
      <c r="V67" s="16"/>
      <c r="W67" s="16"/>
      <c r="X67" s="16"/>
      <c r="Y67" s="16"/>
      <c r="Z67" s="16"/>
    </row>
    <row r="68" spans="13:26" ht="21">
      <c r="M68" s="16"/>
      <c r="N68" s="16"/>
      <c r="O68" s="16"/>
      <c r="P68" s="16"/>
      <c r="Q68" s="16"/>
      <c r="R68" s="16"/>
      <c r="S68" s="16"/>
      <c r="T68" s="16"/>
      <c r="U68" s="16"/>
      <c r="V68" s="16"/>
      <c r="W68" s="16"/>
      <c r="X68" s="16"/>
      <c r="Y68" s="16"/>
      <c r="Z68" s="16"/>
    </row>
    <row r="69" spans="13:26" ht="21">
      <c r="M69" s="16"/>
      <c r="N69" s="16"/>
      <c r="O69" s="16"/>
      <c r="P69" s="16"/>
      <c r="Q69" s="16"/>
      <c r="R69" s="16"/>
      <c r="S69" s="16"/>
      <c r="T69" s="16"/>
      <c r="U69" s="16"/>
      <c r="V69" s="16"/>
      <c r="W69" s="16"/>
      <c r="X69" s="16"/>
      <c r="Y69" s="16"/>
      <c r="Z69" s="16"/>
    </row>
    <row r="70" spans="13:26" ht="21">
      <c r="M70" s="16"/>
      <c r="N70" s="16"/>
      <c r="O70" s="16"/>
      <c r="P70" s="16"/>
      <c r="Q70" s="16"/>
      <c r="R70" s="16"/>
      <c r="S70" s="16"/>
      <c r="T70" s="16"/>
      <c r="U70" s="16"/>
      <c r="V70" s="16"/>
      <c r="W70" s="16"/>
      <c r="X70" s="16"/>
      <c r="Y70" s="16"/>
      <c r="Z70" s="16"/>
    </row>
    <row r="71" spans="13:26" ht="21">
      <c r="M71" s="16"/>
      <c r="N71" s="16"/>
      <c r="O71" s="16"/>
      <c r="P71" s="16"/>
      <c r="Q71" s="16"/>
      <c r="R71" s="16"/>
      <c r="S71" s="16"/>
      <c r="T71" s="16"/>
      <c r="U71" s="16"/>
      <c r="V71" s="16"/>
      <c r="W71" s="16"/>
      <c r="X71" s="16"/>
      <c r="Y71" s="16"/>
      <c r="Z71" s="16"/>
    </row>
    <row r="72" spans="13:26" ht="21">
      <c r="M72" s="16"/>
      <c r="N72" s="16"/>
      <c r="O72" s="16"/>
      <c r="P72" s="16"/>
      <c r="Q72" s="16"/>
      <c r="R72" s="16"/>
      <c r="S72" s="16"/>
      <c r="T72" s="16"/>
      <c r="U72" s="16"/>
      <c r="V72" s="16"/>
      <c r="W72" s="16"/>
      <c r="X72" s="16"/>
      <c r="Y72" s="16"/>
      <c r="Z72" s="16"/>
    </row>
    <row r="73" spans="13:26" ht="21">
      <c r="M73" s="16"/>
      <c r="N73" s="16"/>
      <c r="O73" s="16"/>
      <c r="P73" s="16"/>
      <c r="Q73" s="16"/>
      <c r="R73" s="16"/>
      <c r="S73" s="16"/>
      <c r="T73" s="16"/>
      <c r="U73" s="16"/>
      <c r="V73" s="16"/>
      <c r="W73" s="16"/>
      <c r="X73" s="16"/>
      <c r="Y73" s="16"/>
      <c r="Z73" s="16"/>
    </row>
    <row r="74" spans="13:26" ht="21">
      <c r="M74" s="16"/>
      <c r="N74" s="16"/>
      <c r="O74" s="16"/>
      <c r="P74" s="16"/>
      <c r="Q74" s="16"/>
      <c r="R74" s="16"/>
      <c r="S74" s="16"/>
      <c r="T74" s="16"/>
      <c r="U74" s="16"/>
      <c r="V74" s="16"/>
      <c r="W74" s="16"/>
      <c r="X74" s="16"/>
      <c r="Y74" s="16"/>
      <c r="Z74" s="16"/>
    </row>
    <row r="75" spans="13:26" ht="21">
      <c r="M75" s="16"/>
      <c r="N75" s="16"/>
      <c r="O75" s="16"/>
      <c r="P75" s="16"/>
      <c r="Q75" s="16"/>
      <c r="R75" s="16"/>
      <c r="S75" s="16"/>
      <c r="T75" s="16"/>
      <c r="U75" s="16"/>
      <c r="V75" s="16"/>
      <c r="W75" s="16"/>
      <c r="X75" s="16"/>
      <c r="Y75" s="16"/>
      <c r="Z75" s="16"/>
    </row>
    <row r="76" spans="13:26" ht="21">
      <c r="M76" s="16"/>
      <c r="N76" s="16"/>
      <c r="O76" s="16"/>
      <c r="P76" s="16"/>
      <c r="Q76" s="16"/>
      <c r="R76" s="16"/>
      <c r="S76" s="16"/>
      <c r="T76" s="16"/>
      <c r="U76" s="16"/>
      <c r="V76" s="16"/>
      <c r="W76" s="16"/>
      <c r="X76" s="16"/>
      <c r="Y76" s="16"/>
      <c r="Z76" s="16"/>
    </row>
    <row r="77" spans="13:26" ht="21">
      <c r="M77" s="16"/>
      <c r="N77" s="16"/>
      <c r="O77" s="16"/>
      <c r="P77" s="16"/>
      <c r="Q77" s="16"/>
      <c r="R77" s="16"/>
      <c r="S77" s="16"/>
      <c r="T77" s="16"/>
      <c r="U77" s="16"/>
      <c r="V77" s="16"/>
      <c r="W77" s="16"/>
      <c r="X77" s="16"/>
      <c r="Y77" s="16"/>
      <c r="Z77" s="16"/>
    </row>
    <row r="78" spans="13:26" ht="21">
      <c r="M78" s="16"/>
      <c r="N78" s="16"/>
      <c r="O78" s="16"/>
      <c r="P78" s="16"/>
      <c r="Q78" s="16"/>
      <c r="R78" s="16"/>
      <c r="S78" s="16"/>
      <c r="T78" s="16"/>
      <c r="U78" s="16"/>
      <c r="V78" s="16"/>
      <c r="W78" s="16"/>
      <c r="X78" s="16"/>
      <c r="Y78" s="16"/>
      <c r="Z78" s="16"/>
    </row>
    <row r="79" spans="13:26" ht="21">
      <c r="M79" s="16"/>
      <c r="N79" s="16"/>
      <c r="O79" s="16"/>
      <c r="P79" s="16"/>
      <c r="Q79" s="16"/>
      <c r="R79" s="16"/>
      <c r="S79" s="16"/>
      <c r="T79" s="16"/>
      <c r="U79" s="16"/>
      <c r="V79" s="16"/>
      <c r="W79" s="16"/>
      <c r="X79" s="16"/>
      <c r="Y79" s="16"/>
      <c r="Z79" s="16"/>
    </row>
    <row r="80" spans="13:26" ht="21">
      <c r="M80" s="16"/>
      <c r="N80" s="16"/>
      <c r="O80" s="16"/>
      <c r="P80" s="16"/>
      <c r="Q80" s="16"/>
      <c r="R80" s="16"/>
      <c r="S80" s="16"/>
      <c r="T80" s="16"/>
      <c r="U80" s="16"/>
      <c r="V80" s="16"/>
      <c r="W80" s="16"/>
      <c r="X80" s="16"/>
      <c r="Y80" s="16"/>
      <c r="Z80" s="16"/>
    </row>
    <row r="81" spans="13:26" ht="21">
      <c r="M81" s="16"/>
      <c r="N81" s="16"/>
      <c r="O81" s="16"/>
      <c r="P81" s="16"/>
      <c r="Q81" s="16"/>
      <c r="R81" s="16"/>
      <c r="S81" s="16"/>
      <c r="T81" s="16"/>
      <c r="U81" s="16"/>
      <c r="V81" s="16"/>
      <c r="W81" s="16"/>
      <c r="X81" s="16"/>
      <c r="Y81" s="16"/>
      <c r="Z81" s="16"/>
    </row>
    <row r="82" spans="13:26" ht="21">
      <c r="M82" s="16"/>
      <c r="N82" s="16"/>
      <c r="O82" s="16"/>
      <c r="P82" s="16"/>
      <c r="Q82" s="16"/>
      <c r="R82" s="16"/>
      <c r="S82" s="16"/>
      <c r="T82" s="16"/>
      <c r="U82" s="16"/>
      <c r="V82" s="16"/>
      <c r="W82" s="16"/>
      <c r="X82" s="16"/>
      <c r="Y82" s="16"/>
      <c r="Z82" s="16"/>
    </row>
    <row r="83" spans="13:26" ht="21">
      <c r="M83" s="16"/>
      <c r="N83" s="16"/>
      <c r="O83" s="16"/>
      <c r="P83" s="16"/>
      <c r="Q83" s="16"/>
      <c r="R83" s="16"/>
      <c r="S83" s="16"/>
      <c r="T83" s="16"/>
      <c r="U83" s="16"/>
      <c r="V83" s="16"/>
      <c r="W83" s="16"/>
      <c r="X83" s="16"/>
      <c r="Y83" s="16"/>
      <c r="Z83" s="16"/>
    </row>
    <row r="84" spans="13:26" ht="21">
      <c r="M84" s="16"/>
      <c r="N84" s="16"/>
      <c r="O84" s="16"/>
      <c r="P84" s="16"/>
      <c r="Q84" s="16"/>
      <c r="R84" s="16"/>
      <c r="S84" s="16"/>
      <c r="T84" s="16"/>
      <c r="U84" s="16"/>
      <c r="V84" s="16"/>
      <c r="W84" s="16"/>
      <c r="X84" s="16"/>
      <c r="Y84" s="16"/>
      <c r="Z84" s="16"/>
    </row>
    <row r="85" spans="13:26" ht="21">
      <c r="M85" s="16"/>
      <c r="N85" s="16"/>
      <c r="O85" s="16"/>
      <c r="P85" s="16"/>
      <c r="Q85" s="16"/>
      <c r="R85" s="16"/>
      <c r="S85" s="16"/>
      <c r="T85" s="16"/>
      <c r="U85" s="16"/>
      <c r="V85" s="16"/>
      <c r="W85" s="16"/>
      <c r="X85" s="16"/>
      <c r="Y85" s="16"/>
      <c r="Z85" s="16"/>
    </row>
    <row r="86" spans="13:26" ht="21">
      <c r="M86" s="16"/>
      <c r="N86" s="16"/>
      <c r="O86" s="16"/>
      <c r="P86" s="16"/>
      <c r="Q86" s="16"/>
      <c r="R86" s="16"/>
      <c r="S86" s="16"/>
      <c r="T86" s="16"/>
      <c r="U86" s="16"/>
      <c r="V86" s="16"/>
      <c r="W86" s="16"/>
      <c r="X86" s="16"/>
      <c r="Y86" s="16"/>
      <c r="Z86" s="16"/>
    </row>
    <row r="87" spans="13:26" ht="21">
      <c r="M87" s="16"/>
      <c r="N87" s="16"/>
      <c r="O87" s="16"/>
      <c r="P87" s="16"/>
      <c r="Q87" s="16"/>
      <c r="R87" s="16"/>
      <c r="S87" s="16"/>
      <c r="T87" s="16"/>
      <c r="U87" s="16"/>
      <c r="V87" s="16"/>
      <c r="W87" s="16"/>
      <c r="X87" s="16"/>
      <c r="Y87" s="16"/>
      <c r="Z87" s="16"/>
    </row>
    <row r="88" spans="13:26" ht="21">
      <c r="M88" s="16"/>
      <c r="N88" s="16"/>
      <c r="O88" s="16"/>
      <c r="P88" s="16"/>
      <c r="Q88" s="16"/>
      <c r="R88" s="16"/>
      <c r="S88" s="16"/>
      <c r="T88" s="16"/>
      <c r="U88" s="16"/>
      <c r="V88" s="16"/>
      <c r="W88" s="16"/>
      <c r="X88" s="16"/>
      <c r="Y88" s="16"/>
      <c r="Z88" s="16"/>
    </row>
    <row r="89" spans="13:26" ht="21">
      <c r="M89" s="16"/>
      <c r="N89" s="16"/>
      <c r="O89" s="16"/>
      <c r="P89" s="16"/>
      <c r="Q89" s="16"/>
      <c r="R89" s="16"/>
      <c r="S89" s="16"/>
      <c r="T89" s="16"/>
      <c r="U89" s="16"/>
      <c r="V89" s="16"/>
      <c r="W89" s="16"/>
      <c r="X89" s="16"/>
      <c r="Y89" s="16"/>
      <c r="Z89" s="16"/>
    </row>
    <row r="90" spans="13:26" ht="21">
      <c r="M90" s="16"/>
      <c r="N90" s="16"/>
      <c r="O90" s="16"/>
      <c r="P90" s="16"/>
      <c r="Q90" s="16"/>
      <c r="R90" s="16"/>
      <c r="S90" s="16"/>
      <c r="T90" s="16"/>
      <c r="U90" s="16"/>
      <c r="V90" s="16"/>
      <c r="W90" s="16"/>
      <c r="X90" s="16"/>
      <c r="Y90" s="16"/>
      <c r="Z90" s="16"/>
    </row>
    <row r="91" spans="13:26" ht="21">
      <c r="M91" s="16"/>
      <c r="N91" s="16"/>
      <c r="O91" s="16"/>
      <c r="P91" s="16"/>
      <c r="Q91" s="16"/>
      <c r="R91" s="16"/>
      <c r="S91" s="16"/>
      <c r="T91" s="16"/>
      <c r="U91" s="16"/>
      <c r="V91" s="16"/>
      <c r="W91" s="16"/>
      <c r="X91" s="16"/>
      <c r="Y91" s="16"/>
      <c r="Z91" s="16"/>
    </row>
    <row r="92" spans="13:26" ht="21">
      <c r="M92" s="16"/>
      <c r="N92" s="16"/>
      <c r="O92" s="16"/>
      <c r="P92" s="16"/>
      <c r="Q92" s="16"/>
      <c r="R92" s="16"/>
      <c r="S92" s="16"/>
      <c r="T92" s="16"/>
      <c r="U92" s="16"/>
      <c r="V92" s="16"/>
      <c r="W92" s="16"/>
      <c r="X92" s="16"/>
      <c r="Y92" s="16"/>
      <c r="Z92" s="16"/>
    </row>
    <row r="93" spans="13:26" ht="21">
      <c r="M93" s="16"/>
      <c r="N93" s="16"/>
      <c r="O93" s="16"/>
      <c r="P93" s="16"/>
      <c r="Q93" s="16"/>
      <c r="R93" s="16"/>
      <c r="S93" s="16"/>
      <c r="T93" s="16"/>
      <c r="U93" s="16"/>
      <c r="V93" s="16"/>
      <c r="W93" s="16"/>
      <c r="X93" s="16"/>
      <c r="Y93" s="16"/>
      <c r="Z93" s="16"/>
    </row>
    <row r="94" spans="13:26" ht="21">
      <c r="M94" s="16"/>
      <c r="N94" s="16"/>
      <c r="O94" s="16"/>
      <c r="P94" s="16"/>
      <c r="Q94" s="16"/>
      <c r="R94" s="16"/>
      <c r="S94" s="16"/>
      <c r="T94" s="16"/>
      <c r="U94" s="16"/>
      <c r="V94" s="16"/>
      <c r="W94" s="16"/>
      <c r="X94" s="16"/>
      <c r="Y94" s="16"/>
      <c r="Z94" s="16"/>
    </row>
    <row r="95" spans="13:26" ht="21">
      <c r="M95" s="16"/>
      <c r="N95" s="16"/>
      <c r="O95" s="16"/>
      <c r="P95" s="16"/>
      <c r="Q95" s="16"/>
      <c r="R95" s="16"/>
      <c r="S95" s="16"/>
      <c r="T95" s="16"/>
      <c r="U95" s="16"/>
      <c r="V95" s="16"/>
      <c r="W95" s="16"/>
      <c r="X95" s="16"/>
      <c r="Y95" s="16"/>
      <c r="Z95" s="16"/>
    </row>
    <row r="96" spans="13:26" ht="21">
      <c r="M96" s="16"/>
      <c r="N96" s="16"/>
      <c r="O96" s="16"/>
      <c r="P96" s="16"/>
      <c r="Q96" s="16"/>
      <c r="R96" s="16"/>
      <c r="S96" s="16"/>
      <c r="T96" s="16"/>
      <c r="U96" s="16"/>
      <c r="V96" s="16"/>
      <c r="W96" s="16"/>
      <c r="X96" s="16"/>
      <c r="Y96" s="16"/>
      <c r="Z96" s="16"/>
    </row>
    <row r="97" spans="1:26" ht="21">
      <c r="M97" s="16"/>
      <c r="N97" s="16"/>
      <c r="O97" s="16"/>
      <c r="P97" s="16"/>
      <c r="Q97" s="16"/>
      <c r="R97" s="16"/>
      <c r="S97" s="16"/>
      <c r="T97" s="16"/>
      <c r="U97" s="16"/>
      <c r="V97" s="16"/>
      <c r="W97" s="16"/>
      <c r="X97" s="16"/>
      <c r="Y97" s="16"/>
      <c r="Z97" s="16"/>
    </row>
    <row r="98" spans="1:26" ht="21">
      <c r="M98" s="16"/>
      <c r="N98" s="16"/>
      <c r="O98" s="16"/>
      <c r="P98" s="16"/>
      <c r="Q98" s="16"/>
      <c r="R98" s="16"/>
      <c r="S98" s="16"/>
      <c r="T98" s="16"/>
      <c r="U98" s="16"/>
      <c r="V98" s="16"/>
      <c r="W98" s="16"/>
      <c r="X98" s="16"/>
      <c r="Y98" s="16"/>
      <c r="Z98" s="16"/>
    </row>
    <row r="99" spans="1:26" ht="21">
      <c r="M99" s="16"/>
      <c r="N99" s="16"/>
      <c r="O99" s="16"/>
      <c r="P99" s="16"/>
      <c r="Q99" s="16"/>
      <c r="R99" s="16"/>
      <c r="S99" s="16"/>
      <c r="T99" s="16"/>
      <c r="U99" s="16"/>
      <c r="V99" s="16"/>
      <c r="W99" s="16"/>
      <c r="X99" s="16"/>
      <c r="Y99" s="16"/>
      <c r="Z99" s="16"/>
    </row>
    <row r="100" spans="1:26" ht="21">
      <c r="M100" s="16"/>
      <c r="N100" s="16"/>
      <c r="O100" s="16"/>
      <c r="P100" s="16"/>
      <c r="Q100" s="16"/>
      <c r="R100" s="16"/>
      <c r="S100" s="16"/>
      <c r="T100" s="16"/>
      <c r="U100" s="16"/>
      <c r="V100" s="16"/>
      <c r="W100" s="16"/>
      <c r="X100" s="16"/>
      <c r="Y100" s="16"/>
      <c r="Z100" s="16"/>
    </row>
    <row r="101" spans="1:26" ht="21">
      <c r="M101" s="16"/>
      <c r="N101" s="16"/>
      <c r="O101" s="16"/>
      <c r="P101" s="16"/>
      <c r="Q101" s="16"/>
      <c r="R101" s="16"/>
      <c r="S101" s="16"/>
      <c r="T101" s="16"/>
      <c r="U101" s="16"/>
      <c r="V101" s="16"/>
      <c r="W101" s="16"/>
      <c r="X101" s="16"/>
      <c r="Y101" s="16"/>
      <c r="Z101" s="16"/>
    </row>
    <row r="102" spans="1:26" ht="21">
      <c r="M102" s="16"/>
      <c r="N102" s="16"/>
      <c r="O102" s="16"/>
      <c r="P102" s="16"/>
      <c r="Q102" s="16"/>
      <c r="R102" s="16"/>
      <c r="S102" s="16"/>
      <c r="T102" s="16"/>
      <c r="U102" s="16"/>
      <c r="V102" s="16"/>
      <c r="W102" s="16"/>
      <c r="X102" s="16"/>
      <c r="Y102" s="16"/>
      <c r="Z102" s="16"/>
    </row>
    <row r="103" spans="1:26" ht="21">
      <c r="M103" s="16"/>
      <c r="N103" s="16"/>
      <c r="O103" s="16"/>
      <c r="P103" s="16"/>
      <c r="Q103" s="16"/>
      <c r="R103" s="16"/>
      <c r="S103" s="16"/>
      <c r="T103" s="16"/>
      <c r="U103" s="16"/>
      <c r="V103" s="16"/>
      <c r="W103" s="16"/>
      <c r="X103" s="16"/>
      <c r="Y103" s="16"/>
      <c r="Z103" s="16"/>
    </row>
    <row r="104" spans="1:26" ht="21">
      <c r="M104" s="16"/>
      <c r="N104" s="16"/>
      <c r="O104" s="16"/>
      <c r="P104" s="16"/>
      <c r="Q104" s="16"/>
      <c r="R104" s="16"/>
      <c r="S104" s="16"/>
      <c r="T104" s="16"/>
      <c r="U104" s="16"/>
      <c r="V104" s="16"/>
      <c r="W104" s="16"/>
      <c r="X104" s="16"/>
      <c r="Y104" s="16"/>
      <c r="Z104" s="16"/>
    </row>
    <row r="105" spans="1:26" ht="2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row>
    <row r="106" spans="1:26" ht="21">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row>
    <row r="107" spans="1:26" ht="21">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row>
    <row r="108" spans="1:26" ht="21">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row>
    <row r="109" spans="1:26" ht="21">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row>
    <row r="110" spans="1:26" ht="21">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row>
    <row r="111" spans="1:26" ht="21">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row>
    <row r="112" spans="1:26" ht="21">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6" ht="21">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row>
    <row r="114" spans="1:26" ht="21">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row>
    <row r="115" spans="1:26" ht="21">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row>
    <row r="116" spans="1:26" ht="21">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ht="21">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row>
    <row r="118" spans="1:26" ht="21">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row>
    <row r="119" spans="1:26" ht="21">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ht="21">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row>
    <row r="121" spans="1:26" ht="21">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row>
    <row r="122" spans="1:26" ht="21">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26" ht="21">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24" spans="1:26" ht="21">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row>
    <row r="125" spans="1:26" ht="21">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ht="21">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row>
    <row r="127" spans="1:26" ht="21">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row>
    <row r="128" spans="1:26" ht="21">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row>
  </sheetData>
  <sheetProtection sheet="1" selectLockedCells="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75"/>
  <sheetViews>
    <sheetView topLeftCell="D37" workbookViewId="0">
      <selection activeCell="E44" sqref="E44"/>
    </sheetView>
  </sheetViews>
  <sheetFormatPr baseColWidth="10" defaultColWidth="0" defaultRowHeight="15.6" customHeight="1" zeroHeight="1"/>
  <cols>
    <col min="1" max="1" width="39.85546875" hidden="1" customWidth="1"/>
    <col min="2" max="2" width="20.42578125" hidden="1" customWidth="1"/>
    <col min="3" max="3" width="10.85546875" hidden="1" customWidth="1"/>
    <col min="4" max="4" width="46.140625" bestFit="1" customWidth="1"/>
    <col min="5" max="5" width="23.140625" bestFit="1" customWidth="1"/>
    <col min="6" max="6" width="16.140625" customWidth="1"/>
    <col min="7" max="14" width="11.42578125" bestFit="1" customWidth="1"/>
    <col min="15" max="20" width="12.42578125" bestFit="1" customWidth="1"/>
    <col min="21" max="21" width="10.85546875" customWidth="1"/>
    <col min="22" max="16384" width="10.85546875" hidden="1"/>
  </cols>
  <sheetData>
    <row r="1" spans="1:5" ht="15" hidden="1">
      <c r="A1" t="s">
        <v>18</v>
      </c>
      <c r="E1" s="27"/>
    </row>
    <row r="2" spans="1:5" ht="15" hidden="1">
      <c r="A2" t="s">
        <v>142</v>
      </c>
      <c r="B2" s="2">
        <f>1.09%+1.31%</f>
        <v>2.4E-2</v>
      </c>
      <c r="E2" s="27"/>
    </row>
    <row r="3" spans="1:5" ht="15" hidden="1">
      <c r="A3" t="s">
        <v>17</v>
      </c>
      <c r="B3" s="6">
        <f>IF(Modell!$D$15="",IF(Modell!H15="",Modell!$E$15,Modell!$H$15),Modell!$D$15)</f>
        <v>2.4E-2</v>
      </c>
      <c r="E3" s="27"/>
    </row>
    <row r="4" spans="1:5" ht="15" hidden="1">
      <c r="A4" s="9" t="s">
        <v>160</v>
      </c>
      <c r="B4" s="2">
        <v>0.01</v>
      </c>
      <c r="E4" s="27"/>
    </row>
    <row r="5" spans="1:5" ht="15" hidden="1">
      <c r="A5" s="83" t="s">
        <v>546</v>
      </c>
      <c r="B5" s="2">
        <f>IF(Modell!$D$16="",IF(Modell!H16="",Modell!$E$16,Modell!$H$16),Modell!$D$16)</f>
        <v>0.01</v>
      </c>
      <c r="E5" s="27"/>
    </row>
    <row r="6" spans="1:5" ht="15" hidden="1">
      <c r="A6" s="83" t="s">
        <v>547</v>
      </c>
      <c r="B6" s="2">
        <f>IF(Modell!$D$17="",IF(Modell!H17="",Modell!$E$17,Modell!$H$17),Modell!$D$17)</f>
        <v>2.5000000000000001E-2</v>
      </c>
      <c r="E6" s="27"/>
    </row>
    <row r="7" spans="1:5" ht="15" hidden="1">
      <c r="A7" t="s">
        <v>161</v>
      </c>
      <c r="B7" s="6">
        <f>B5+B6</f>
        <v>3.5000000000000003E-2</v>
      </c>
      <c r="E7" s="27"/>
    </row>
    <row r="8" spans="1:5" ht="15" hidden="1">
      <c r="A8" t="s">
        <v>156</v>
      </c>
      <c r="B8" s="6">
        <v>2.5000000000000001E-2</v>
      </c>
      <c r="E8" s="27"/>
    </row>
    <row r="9" spans="1:5" ht="15" hidden="1">
      <c r="A9" t="s">
        <v>38</v>
      </c>
      <c r="B9" s="2">
        <v>0.06</v>
      </c>
      <c r="E9" s="27"/>
    </row>
    <row r="10" spans="1:5" ht="15" hidden="1">
      <c r="A10" t="s">
        <v>39</v>
      </c>
      <c r="B10" s="2">
        <v>5.0000000000000001E-3</v>
      </c>
      <c r="E10" s="27"/>
    </row>
    <row r="11" spans="1:5" ht="15" hidden="1">
      <c r="A11" t="s">
        <v>40</v>
      </c>
      <c r="B11" s="2">
        <v>3.7999999999999999E-2</v>
      </c>
      <c r="E11" s="27"/>
    </row>
    <row r="12" spans="1:5" ht="15" hidden="1">
      <c r="A12" t="s">
        <v>41</v>
      </c>
      <c r="B12" s="2">
        <v>8.6999999999999994E-2</v>
      </c>
      <c r="E12" s="27"/>
    </row>
    <row r="13" spans="1:5" ht="15" hidden="1">
      <c r="A13" t="s">
        <v>42</v>
      </c>
      <c r="B13" s="7">
        <v>4</v>
      </c>
      <c r="E13" s="27"/>
    </row>
    <row r="14" spans="1:5" ht="15" hidden="1">
      <c r="A14" t="s">
        <v>43</v>
      </c>
      <c r="B14" s="2">
        <v>0.02</v>
      </c>
      <c r="E14" s="27"/>
    </row>
    <row r="15" spans="1:5" ht="15" hidden="1">
      <c r="A15" t="s">
        <v>44</v>
      </c>
      <c r="B15" s="2">
        <v>0.01</v>
      </c>
      <c r="E15" s="27"/>
    </row>
    <row r="16" spans="1:5" ht="15" hidden="1">
      <c r="A16" t="s">
        <v>53</v>
      </c>
      <c r="B16" s="7">
        <v>4</v>
      </c>
      <c r="E16" s="27"/>
    </row>
    <row r="17" spans="1:5" ht="15" hidden="1">
      <c r="B17" s="2"/>
      <c r="E17" s="27"/>
    </row>
    <row r="18" spans="1:5" ht="15" hidden="1">
      <c r="A18" t="s">
        <v>19</v>
      </c>
      <c r="B18">
        <f>Introduksjon!$C$6</f>
        <v>0</v>
      </c>
      <c r="E18" s="27"/>
    </row>
    <row r="19" spans="1:5" ht="15" hidden="1">
      <c r="A19" t="s">
        <v>1</v>
      </c>
      <c r="B19" s="4" t="str">
        <f>IF(Introduksjon!C6="","",INDEX(Data!$A$1:$Q$444,MATCH(Kommunenr,Data!$A$1:$A$444,0),MATCH($A$19,Data!$A$1:$Q$1,0)))</f>
        <v/>
      </c>
      <c r="E19" s="27"/>
    </row>
    <row r="20" spans="1:5" ht="15" hidden="1">
      <c r="B20" s="4"/>
      <c r="E20" s="27"/>
    </row>
    <row r="21" spans="1:5" ht="15" hidden="1">
      <c r="A21" s="8" t="s">
        <v>22</v>
      </c>
      <c r="B21" s="4"/>
      <c r="E21" s="27"/>
    </row>
    <row r="22" spans="1:5" ht="15" hidden="1">
      <c r="A22" t="s">
        <v>2</v>
      </c>
      <c r="B22" s="6">
        <f>IF(Modell!$D$13="",IF(Modell!H13="",Modell!$E$13,Modell!$H$13),Modell!$D$13)</f>
        <v>0</v>
      </c>
      <c r="E22" s="27"/>
    </row>
    <row r="23" spans="1:5" ht="15" hidden="1">
      <c r="A23" t="s">
        <v>3</v>
      </c>
      <c r="B23" s="6">
        <f>IF(Modell!$D$11="",IF(Modell!H11="",Modell!$E$11,Modell!$H$11),Modell!$D$11)</f>
        <v>0</v>
      </c>
      <c r="E23" s="27"/>
    </row>
    <row r="24" spans="1:5" ht="15" hidden="1">
      <c r="A24" t="s">
        <v>4</v>
      </c>
      <c r="B24" s="6">
        <f>IF(Modell!$D$12="",IF(Modell!H12="",Modell!$E$12,Modell!$H$12),Modell!$D$12)</f>
        <v>0</v>
      </c>
      <c r="E24" s="27"/>
    </row>
    <row r="25" spans="1:5" ht="15" hidden="1">
      <c r="A25" t="s">
        <v>5</v>
      </c>
      <c r="B25" s="6">
        <f>IF(Modell!$D$10="",IF(Modell!H10="",Modell!$E$10,Modell!$H$10),Modell!$D$10)</f>
        <v>0</v>
      </c>
      <c r="E25" s="27"/>
    </row>
    <row r="26" spans="1:5" ht="15" hidden="1">
      <c r="A26" t="s">
        <v>6</v>
      </c>
      <c r="B26" s="6">
        <f>IF(Modell!$D$14="",IF(Modell!H14="",Modell!$E$14,Modell!$H$14),Modell!$D$14)</f>
        <v>0</v>
      </c>
      <c r="E26" s="27"/>
    </row>
    <row r="27" spans="1:5" ht="15" hidden="1">
      <c r="A27" t="s">
        <v>10</v>
      </c>
      <c r="B27" s="4">
        <f>SUMPRODUCT((kommnr_kol=Kommunenr)*(finansformue_kol))</f>
        <v>0</v>
      </c>
      <c r="E27" s="27"/>
    </row>
    <row r="28" spans="1:5" ht="15" hidden="1">
      <c r="A28" t="s">
        <v>7</v>
      </c>
      <c r="B28" s="4">
        <f>SUMPRODUCT((kommnr_kol=Kommunenr)*(gjeld_kol))</f>
        <v>0</v>
      </c>
      <c r="E28" s="27"/>
    </row>
    <row r="29" spans="1:5" ht="15" hidden="1">
      <c r="A29" t="s">
        <v>31</v>
      </c>
      <c r="B29" s="4">
        <f>SUMPRODUCT((kommnr_kol=Kommunenr)*(renteinnt_utbytte_kol))</f>
        <v>0</v>
      </c>
      <c r="E29" s="27"/>
    </row>
    <row r="30" spans="1:5" ht="15" hidden="1">
      <c r="A30" t="s">
        <v>32</v>
      </c>
      <c r="B30" s="4">
        <f>SUMPRODUCT((kommnr_kol=Kommunenr)*(drinnt_d_kol))</f>
        <v>0</v>
      </c>
      <c r="E30" s="27"/>
    </row>
    <row r="31" spans="1:5" ht="15" hidden="1">
      <c r="A31" t="s">
        <v>11</v>
      </c>
      <c r="B31" s="4">
        <f>SUMPRODUCT((kommnr_kol=Kommunenr)*(akk_merforbruk_kol))</f>
        <v>0</v>
      </c>
      <c r="E31" s="27"/>
    </row>
    <row r="32" spans="1:5" ht="15" hidden="1">
      <c r="A32" t="s">
        <v>12</v>
      </c>
      <c r="B32" s="4">
        <f>SUMPRODUCT((kommnr_kol=Kommunenr)*(renteeksp_gjeld_kol))</f>
        <v>0</v>
      </c>
      <c r="E32" s="27"/>
    </row>
    <row r="33" spans="1:21" ht="15" hidden="1">
      <c r="A33" s="9" t="s">
        <v>173</v>
      </c>
      <c r="B33" s="70">
        <v>0</v>
      </c>
      <c r="E33" s="27"/>
    </row>
    <row r="34" spans="1:21" ht="15" hidden="1">
      <c r="A34" s="9" t="s">
        <v>172</v>
      </c>
      <c r="B34" s="70">
        <f>IF(Modell!$D$19="",Modell!$E$19,Modell!$D$19)</f>
        <v>0</v>
      </c>
      <c r="E34" s="27"/>
    </row>
    <row r="35" spans="1:21" ht="15" hidden="1">
      <c r="A35" t="s">
        <v>15</v>
      </c>
      <c r="B35" s="6">
        <f>SUMPRODUCT((kommnr_kol=Kommunenr)*(andel_skatt_kol))</f>
        <v>0</v>
      </c>
      <c r="E35" s="27"/>
    </row>
    <row r="36" spans="1:21" ht="15" hidden="1">
      <c r="A36" t="s">
        <v>16</v>
      </c>
      <c r="B36" s="4">
        <f>SUMPRODUCT((kommnr_kol=Kommunenr)*(dispfond_kol))</f>
        <v>0</v>
      </c>
      <c r="E36" s="27"/>
    </row>
    <row r="37" spans="1:21" ht="21">
      <c r="A37" s="9" t="s">
        <v>163</v>
      </c>
      <c r="B37" s="2" t="e">
        <f>IF(Modell!D18="",IF(Modell!H18="",gjeld_old/(drinnt_old+renteinnt_utbytte_old),Modell!$H$18),Modell!$D$13)</f>
        <v>#DIV/0!</v>
      </c>
      <c r="D37" s="16" t="s">
        <v>135</v>
      </c>
      <c r="E37" s="27"/>
      <c r="F37" s="27"/>
      <c r="G37" s="27"/>
      <c r="H37" s="27"/>
      <c r="I37" s="27"/>
      <c r="J37" s="27"/>
      <c r="K37" s="27"/>
      <c r="L37" s="27"/>
      <c r="M37" s="27"/>
      <c r="N37" s="27"/>
      <c r="O37" s="27"/>
      <c r="P37" s="27"/>
      <c r="Q37" s="27"/>
      <c r="R37" s="27"/>
      <c r="S37" s="27"/>
      <c r="T37" s="27"/>
      <c r="U37" s="27"/>
    </row>
    <row r="38" spans="1:21" ht="15">
      <c r="A38" s="9" t="s">
        <v>162</v>
      </c>
      <c r="B38" s="6" t="e">
        <f>gjeld_old/(drinnt_old+renteinnt_utbytte_old)</f>
        <v>#DIV/0!</v>
      </c>
      <c r="D38" s="27"/>
      <c r="E38" s="27"/>
      <c r="F38" s="27"/>
      <c r="G38" s="27"/>
      <c r="H38" s="27"/>
      <c r="I38" s="27"/>
      <c r="J38" s="27"/>
      <c r="K38" s="27"/>
      <c r="L38" s="27"/>
      <c r="M38" s="27"/>
      <c r="N38" s="27"/>
      <c r="O38" s="27"/>
      <c r="P38" s="27"/>
      <c r="Q38" s="27"/>
      <c r="R38" s="27"/>
      <c r="S38" s="27"/>
      <c r="T38" s="27"/>
      <c r="U38" s="27"/>
    </row>
    <row r="39" spans="1:21" ht="15">
      <c r="A39" s="9" t="s">
        <v>23</v>
      </c>
      <c r="B39" s="4"/>
      <c r="C39" s="4"/>
      <c r="D39" s="80"/>
      <c r="E39" s="80">
        <v>2021</v>
      </c>
      <c r="F39" s="80">
        <f>E39+1</f>
        <v>2022</v>
      </c>
      <c r="G39" s="80">
        <f t="shared" ref="G39:T39" si="0">F39+1</f>
        <v>2023</v>
      </c>
      <c r="H39" s="80">
        <f t="shared" si="0"/>
        <v>2024</v>
      </c>
      <c r="I39" s="80">
        <f t="shared" si="0"/>
        <v>2025</v>
      </c>
      <c r="J39" s="80">
        <f t="shared" si="0"/>
        <v>2026</v>
      </c>
      <c r="K39" s="80">
        <f t="shared" si="0"/>
        <v>2027</v>
      </c>
      <c r="L39" s="80">
        <f t="shared" si="0"/>
        <v>2028</v>
      </c>
      <c r="M39" s="80">
        <f t="shared" si="0"/>
        <v>2029</v>
      </c>
      <c r="N39" s="80">
        <f t="shared" si="0"/>
        <v>2030</v>
      </c>
      <c r="O39" s="80">
        <f t="shared" si="0"/>
        <v>2031</v>
      </c>
      <c r="P39" s="80">
        <f t="shared" si="0"/>
        <v>2032</v>
      </c>
      <c r="Q39" s="80">
        <f t="shared" si="0"/>
        <v>2033</v>
      </c>
      <c r="R39" s="80">
        <f t="shared" si="0"/>
        <v>2034</v>
      </c>
      <c r="S39" s="80">
        <f t="shared" si="0"/>
        <v>2035</v>
      </c>
      <c r="T39" s="80">
        <f t="shared" si="0"/>
        <v>2036</v>
      </c>
      <c r="U39" s="27"/>
    </row>
    <row r="40" spans="1:21" ht="15">
      <c r="A40" s="9" t="s">
        <v>26</v>
      </c>
      <c r="B40" s="4">
        <f>drinnt_old*(1+vekst_driftsinntekter)</f>
        <v>0</v>
      </c>
      <c r="C40" s="4"/>
      <c r="D40" s="9" t="s">
        <v>26</v>
      </c>
      <c r="E40" s="61">
        <f>drinnt/1000</f>
        <v>0</v>
      </c>
      <c r="F40" s="61">
        <f t="shared" ref="F40:T40" si="1">E40*(1+vekst_driftsinntekter)</f>
        <v>0</v>
      </c>
      <c r="G40" s="61">
        <f t="shared" si="1"/>
        <v>0</v>
      </c>
      <c r="H40" s="61">
        <f t="shared" si="1"/>
        <v>0</v>
      </c>
      <c r="I40" s="61">
        <f t="shared" si="1"/>
        <v>0</v>
      </c>
      <c r="J40" s="61">
        <f t="shared" si="1"/>
        <v>0</v>
      </c>
      <c r="K40" s="61">
        <f t="shared" si="1"/>
        <v>0</v>
      </c>
      <c r="L40" s="61">
        <f t="shared" si="1"/>
        <v>0</v>
      </c>
      <c r="M40" s="61">
        <f t="shared" si="1"/>
        <v>0</v>
      </c>
      <c r="N40" s="61">
        <f t="shared" si="1"/>
        <v>0</v>
      </c>
      <c r="O40" s="61">
        <f t="shared" si="1"/>
        <v>0</v>
      </c>
      <c r="P40" s="61">
        <f t="shared" si="1"/>
        <v>0</v>
      </c>
      <c r="Q40" s="61">
        <f t="shared" si="1"/>
        <v>0</v>
      </c>
      <c r="R40" s="61">
        <f t="shared" si="1"/>
        <v>0</v>
      </c>
      <c r="S40" s="61">
        <f t="shared" si="1"/>
        <v>0</v>
      </c>
      <c r="T40" s="61">
        <f t="shared" si="1"/>
        <v>0</v>
      </c>
      <c r="U40" s="27"/>
    </row>
    <row r="41" spans="1:21" ht="15">
      <c r="A41" t="s">
        <v>25</v>
      </c>
      <c r="B41" s="7">
        <f>avkastning_finansformue*finansformue</f>
        <v>0</v>
      </c>
      <c r="C41" s="7"/>
      <c r="D41" t="s">
        <v>25</v>
      </c>
      <c r="E41" s="61">
        <f>E61*avkastning_finansformue</f>
        <v>0</v>
      </c>
      <c r="F41" s="61">
        <f t="shared" ref="F41:T41" si="2">Renteinntekter_og_utbytte/1000</f>
        <v>0</v>
      </c>
      <c r="G41" s="61">
        <f t="shared" si="2"/>
        <v>0</v>
      </c>
      <c r="H41" s="61">
        <f t="shared" si="2"/>
        <v>0</v>
      </c>
      <c r="I41" s="61">
        <f t="shared" si="2"/>
        <v>0</v>
      </c>
      <c r="J41" s="61">
        <f t="shared" si="2"/>
        <v>0</v>
      </c>
      <c r="K41" s="61">
        <f t="shared" si="2"/>
        <v>0</v>
      </c>
      <c r="L41" s="61">
        <f t="shared" si="2"/>
        <v>0</v>
      </c>
      <c r="M41" s="61">
        <f t="shared" si="2"/>
        <v>0</v>
      </c>
      <c r="N41" s="61">
        <f t="shared" si="2"/>
        <v>0</v>
      </c>
      <c r="O41" s="61">
        <f t="shared" si="2"/>
        <v>0</v>
      </c>
      <c r="P41" s="61">
        <f t="shared" si="2"/>
        <v>0</v>
      </c>
      <c r="Q41" s="61">
        <f t="shared" si="2"/>
        <v>0</v>
      </c>
      <c r="R41" s="61">
        <f t="shared" si="2"/>
        <v>0</v>
      </c>
      <c r="S41" s="61">
        <f t="shared" si="2"/>
        <v>0</v>
      </c>
      <c r="T41" s="61">
        <f t="shared" si="2"/>
        <v>0</v>
      </c>
      <c r="U41" s="27"/>
    </row>
    <row r="42" spans="1:21" ht="15">
      <c r="A42" t="s">
        <v>27</v>
      </c>
      <c r="B42" s="7">
        <f>a_driutg*(drinnt+Renteinntekter_og_utbytte)</f>
        <v>0</v>
      </c>
      <c r="C42" s="7"/>
      <c r="D42" t="s">
        <v>27</v>
      </c>
      <c r="E42" s="61">
        <f t="shared" ref="E42:T42" si="3">(E40+E41)*a_driutg</f>
        <v>0</v>
      </c>
      <c r="F42" s="61">
        <f t="shared" si="3"/>
        <v>0</v>
      </c>
      <c r="G42" s="61">
        <f t="shared" si="3"/>
        <v>0</v>
      </c>
      <c r="H42" s="61">
        <f t="shared" si="3"/>
        <v>0</v>
      </c>
      <c r="I42" s="61">
        <f t="shared" si="3"/>
        <v>0</v>
      </c>
      <c r="J42" s="61">
        <f t="shared" si="3"/>
        <v>0</v>
      </c>
      <c r="K42" s="61">
        <f t="shared" si="3"/>
        <v>0</v>
      </c>
      <c r="L42" s="61">
        <f t="shared" si="3"/>
        <v>0</v>
      </c>
      <c r="M42" s="61">
        <f t="shared" si="3"/>
        <v>0</v>
      </c>
      <c r="N42" s="61">
        <f t="shared" si="3"/>
        <v>0</v>
      </c>
      <c r="O42" s="61">
        <f t="shared" si="3"/>
        <v>0</v>
      </c>
      <c r="P42" s="61">
        <f t="shared" si="3"/>
        <v>0</v>
      </c>
      <c r="Q42" s="61">
        <f t="shared" si="3"/>
        <v>0</v>
      </c>
      <c r="R42" s="61">
        <f t="shared" si="3"/>
        <v>0</v>
      </c>
      <c r="S42" s="61">
        <f t="shared" si="3"/>
        <v>0</v>
      </c>
      <c r="T42" s="61">
        <f t="shared" si="3"/>
        <v>0</v>
      </c>
      <c r="U42" s="27"/>
    </row>
    <row r="43" spans="1:21" ht="15">
      <c r="A43" t="s">
        <v>20</v>
      </c>
      <c r="B43" s="7">
        <f>Forventet_rente*gjeld_old</f>
        <v>0</v>
      </c>
      <c r="C43" s="7"/>
      <c r="D43" t="s">
        <v>20</v>
      </c>
      <c r="E43" s="61">
        <f>Renteutgifter/1000</f>
        <v>0</v>
      </c>
      <c r="F43" s="61" t="e">
        <f t="shared" ref="F43:T43" si="4">Forventet_rente*E49</f>
        <v>#DIV/0!</v>
      </c>
      <c r="G43" s="61" t="e">
        <f t="shared" si="4"/>
        <v>#DIV/0!</v>
      </c>
      <c r="H43" s="61" t="e">
        <f t="shared" si="4"/>
        <v>#DIV/0!</v>
      </c>
      <c r="I43" s="61" t="e">
        <f t="shared" si="4"/>
        <v>#DIV/0!</v>
      </c>
      <c r="J43" s="61" t="e">
        <f t="shared" si="4"/>
        <v>#DIV/0!</v>
      </c>
      <c r="K43" s="61" t="e">
        <f t="shared" si="4"/>
        <v>#DIV/0!</v>
      </c>
      <c r="L43" s="61" t="e">
        <f t="shared" si="4"/>
        <v>#DIV/0!</v>
      </c>
      <c r="M43" s="61" t="e">
        <f t="shared" si="4"/>
        <v>#DIV/0!</v>
      </c>
      <c r="N43" s="61" t="e">
        <f t="shared" si="4"/>
        <v>#DIV/0!</v>
      </c>
      <c r="O43" s="61" t="e">
        <f t="shared" si="4"/>
        <v>#DIV/0!</v>
      </c>
      <c r="P43" s="61" t="e">
        <f t="shared" si="4"/>
        <v>#DIV/0!</v>
      </c>
      <c r="Q43" s="61" t="e">
        <f t="shared" si="4"/>
        <v>#DIV/0!</v>
      </c>
      <c r="R43" s="61" t="e">
        <f t="shared" si="4"/>
        <v>#DIV/0!</v>
      </c>
      <c r="S43" s="61" t="e">
        <f t="shared" si="4"/>
        <v>#DIV/0!</v>
      </c>
      <c r="T43" s="61" t="e">
        <f t="shared" si="4"/>
        <v>#DIV/0!</v>
      </c>
      <c r="U43" s="27"/>
    </row>
    <row r="44" spans="1:21" ht="15">
      <c r="A44" t="s">
        <v>21</v>
      </c>
      <c r="B44" s="7">
        <f>a_avdrag*gjeld_old</f>
        <v>0</v>
      </c>
      <c r="C44" s="7"/>
      <c r="D44" t="s">
        <v>21</v>
      </c>
      <c r="E44" s="61">
        <f>Avdragsutgifter/1000</f>
        <v>0</v>
      </c>
      <c r="F44" s="61" t="e">
        <f t="shared" ref="F44:T44" si="5">a_avdrag*E49</f>
        <v>#DIV/0!</v>
      </c>
      <c r="G44" s="61" t="e">
        <f t="shared" si="5"/>
        <v>#DIV/0!</v>
      </c>
      <c r="H44" s="61" t="e">
        <f t="shared" si="5"/>
        <v>#DIV/0!</v>
      </c>
      <c r="I44" s="61" t="e">
        <f t="shared" si="5"/>
        <v>#DIV/0!</v>
      </c>
      <c r="J44" s="61" t="e">
        <f t="shared" si="5"/>
        <v>#DIV/0!</v>
      </c>
      <c r="K44" s="61" t="e">
        <f t="shared" si="5"/>
        <v>#DIV/0!</v>
      </c>
      <c r="L44" s="61" t="e">
        <f t="shared" si="5"/>
        <v>#DIV/0!</v>
      </c>
      <c r="M44" s="61" t="e">
        <f t="shared" si="5"/>
        <v>#DIV/0!</v>
      </c>
      <c r="N44" s="61" t="e">
        <f t="shared" si="5"/>
        <v>#DIV/0!</v>
      </c>
      <c r="O44" s="61" t="e">
        <f t="shared" si="5"/>
        <v>#DIV/0!</v>
      </c>
      <c r="P44" s="61" t="e">
        <f t="shared" si="5"/>
        <v>#DIV/0!</v>
      </c>
      <c r="Q44" s="61" t="e">
        <f t="shared" si="5"/>
        <v>#DIV/0!</v>
      </c>
      <c r="R44" s="61" t="e">
        <f t="shared" si="5"/>
        <v>#DIV/0!</v>
      </c>
      <c r="S44" s="61" t="e">
        <f t="shared" si="5"/>
        <v>#DIV/0!</v>
      </c>
      <c r="T44" s="61" t="e">
        <f t="shared" si="5"/>
        <v>#DIV/0!</v>
      </c>
      <c r="U44" s="27"/>
    </row>
    <row r="45" spans="1:21" ht="15">
      <c r="A45" t="s">
        <v>28</v>
      </c>
      <c r="B45" s="7">
        <f>a_inv*Driftsutgifter</f>
        <v>0</v>
      </c>
      <c r="C45" s="7"/>
      <c r="D45" t="s">
        <v>28</v>
      </c>
      <c r="E45" s="61">
        <f t="shared" ref="E45:T45" si="6">a_inv*(E42)</f>
        <v>0</v>
      </c>
      <c r="F45" s="61">
        <f t="shared" si="6"/>
        <v>0</v>
      </c>
      <c r="G45" s="61">
        <f t="shared" si="6"/>
        <v>0</v>
      </c>
      <c r="H45" s="61">
        <f t="shared" si="6"/>
        <v>0</v>
      </c>
      <c r="I45" s="61">
        <f t="shared" si="6"/>
        <v>0</v>
      </c>
      <c r="J45" s="61">
        <f t="shared" si="6"/>
        <v>0</v>
      </c>
      <c r="K45" s="61">
        <f t="shared" si="6"/>
        <v>0</v>
      </c>
      <c r="L45" s="61">
        <f t="shared" si="6"/>
        <v>0</v>
      </c>
      <c r="M45" s="61">
        <f t="shared" si="6"/>
        <v>0</v>
      </c>
      <c r="N45" s="61">
        <f t="shared" si="6"/>
        <v>0</v>
      </c>
      <c r="O45" s="61">
        <f t="shared" si="6"/>
        <v>0</v>
      </c>
      <c r="P45" s="61">
        <f t="shared" si="6"/>
        <v>0</v>
      </c>
      <c r="Q45" s="61">
        <f t="shared" si="6"/>
        <v>0</v>
      </c>
      <c r="R45" s="61">
        <f t="shared" si="6"/>
        <v>0</v>
      </c>
      <c r="S45" s="61">
        <f t="shared" si="6"/>
        <v>0</v>
      </c>
      <c r="T45" s="61">
        <f t="shared" si="6"/>
        <v>0</v>
      </c>
      <c r="U45" s="27"/>
    </row>
    <row r="46" spans="1:21" ht="15">
      <c r="A46" t="s">
        <v>29</v>
      </c>
      <c r="B46" s="7">
        <f>a_inv_innt*Investeringer</f>
        <v>0</v>
      </c>
      <c r="C46" s="7"/>
      <c r="D46" t="s">
        <v>29</v>
      </c>
      <c r="E46" s="61">
        <f t="shared" ref="E46:T46" si="7">E45*a_inv_innt</f>
        <v>0</v>
      </c>
      <c r="F46" s="61">
        <f t="shared" si="7"/>
        <v>0</v>
      </c>
      <c r="G46" s="61">
        <f t="shared" si="7"/>
        <v>0</v>
      </c>
      <c r="H46" s="61">
        <f t="shared" si="7"/>
        <v>0</v>
      </c>
      <c r="I46" s="61">
        <f t="shared" si="7"/>
        <v>0</v>
      </c>
      <c r="J46" s="61">
        <f t="shared" si="7"/>
        <v>0</v>
      </c>
      <c r="K46" s="61">
        <f t="shared" si="7"/>
        <v>0</v>
      </c>
      <c r="L46" s="61">
        <f t="shared" si="7"/>
        <v>0</v>
      </c>
      <c r="M46" s="61">
        <f t="shared" si="7"/>
        <v>0</v>
      </c>
      <c r="N46" s="61">
        <f t="shared" si="7"/>
        <v>0</v>
      </c>
      <c r="O46" s="61">
        <f t="shared" si="7"/>
        <v>0</v>
      </c>
      <c r="P46" s="61">
        <f t="shared" si="7"/>
        <v>0</v>
      </c>
      <c r="Q46" s="61">
        <f t="shared" si="7"/>
        <v>0</v>
      </c>
      <c r="R46" s="61">
        <f t="shared" si="7"/>
        <v>0</v>
      </c>
      <c r="S46" s="61">
        <f t="shared" si="7"/>
        <v>0</v>
      </c>
      <c r="T46" s="61">
        <f t="shared" si="7"/>
        <v>0</v>
      </c>
      <c r="U46" s="27"/>
    </row>
    <row r="47" spans="1:21" ht="15">
      <c r="A47" t="s">
        <v>30</v>
      </c>
      <c r="B47" s="7" t="e">
        <f>MIN(Investeringer-Investeringsinntekter,Gjeldsandel_faktisk*(drinnt+Renteinntekter_og_utbytte)-gjeld_old +Avdragsutgifter)</f>
        <v>#DIV/0!</v>
      </c>
      <c r="C47" s="7"/>
      <c r="D47" t="s">
        <v>30</v>
      </c>
      <c r="E47" s="61" t="e">
        <f>Brutto_låneopptak/1000</f>
        <v>#DIV/0!</v>
      </c>
      <c r="F47" s="61" t="e">
        <f t="shared" ref="F47:T47" si="8">MIN(F45-F46,gjeldsandel_old*(F40-E40)+F44)</f>
        <v>#DIV/0!</v>
      </c>
      <c r="G47" s="61" t="e">
        <f t="shared" si="8"/>
        <v>#DIV/0!</v>
      </c>
      <c r="H47" s="61" t="e">
        <f t="shared" si="8"/>
        <v>#DIV/0!</v>
      </c>
      <c r="I47" s="61" t="e">
        <f t="shared" si="8"/>
        <v>#DIV/0!</v>
      </c>
      <c r="J47" s="61" t="e">
        <f t="shared" si="8"/>
        <v>#DIV/0!</v>
      </c>
      <c r="K47" s="61" t="e">
        <f t="shared" si="8"/>
        <v>#DIV/0!</v>
      </c>
      <c r="L47" s="61" t="e">
        <f t="shared" si="8"/>
        <v>#DIV/0!</v>
      </c>
      <c r="M47" s="61" t="e">
        <f t="shared" si="8"/>
        <v>#DIV/0!</v>
      </c>
      <c r="N47" s="61" t="e">
        <f t="shared" si="8"/>
        <v>#DIV/0!</v>
      </c>
      <c r="O47" s="61" t="e">
        <f t="shared" si="8"/>
        <v>#DIV/0!</v>
      </c>
      <c r="P47" s="61" t="e">
        <f t="shared" si="8"/>
        <v>#DIV/0!</v>
      </c>
      <c r="Q47" s="61" t="e">
        <f t="shared" si="8"/>
        <v>#DIV/0!</v>
      </c>
      <c r="R47" s="61" t="e">
        <f t="shared" si="8"/>
        <v>#DIV/0!</v>
      </c>
      <c r="S47" s="61" t="e">
        <f t="shared" si="8"/>
        <v>#DIV/0!</v>
      </c>
      <c r="T47" s="61" t="e">
        <f t="shared" si="8"/>
        <v>#DIV/0!</v>
      </c>
      <c r="U47" s="27"/>
    </row>
    <row r="48" spans="1:21" ht="15">
      <c r="A48" t="s">
        <v>35</v>
      </c>
      <c r="B48" s="7" t="e">
        <f>Gjeldsandel_faktisk*(drinnt+Renteinntekter_og_utbytte)-gjeld_old +Avdragsutgifter</f>
        <v>#DIV/0!</v>
      </c>
      <c r="C48" s="7"/>
      <c r="D48" t="s">
        <v>35</v>
      </c>
      <c r="E48" s="61" t="e">
        <f>B48/1000</f>
        <v>#DIV/0!</v>
      </c>
      <c r="F48" s="61" t="e">
        <f t="shared" ref="F48:T48" si="9">gjeldsandel_old*(F40-E40)+F44</f>
        <v>#DIV/0!</v>
      </c>
      <c r="G48" s="61" t="e">
        <f t="shared" si="9"/>
        <v>#DIV/0!</v>
      </c>
      <c r="H48" s="61" t="e">
        <f t="shared" si="9"/>
        <v>#DIV/0!</v>
      </c>
      <c r="I48" s="61" t="e">
        <f t="shared" si="9"/>
        <v>#DIV/0!</v>
      </c>
      <c r="J48" s="61" t="e">
        <f t="shared" si="9"/>
        <v>#DIV/0!</v>
      </c>
      <c r="K48" s="61" t="e">
        <f t="shared" si="9"/>
        <v>#DIV/0!</v>
      </c>
      <c r="L48" s="61" t="e">
        <f t="shared" si="9"/>
        <v>#DIV/0!</v>
      </c>
      <c r="M48" s="61" t="e">
        <f t="shared" si="9"/>
        <v>#DIV/0!</v>
      </c>
      <c r="N48" s="61" t="e">
        <f t="shared" si="9"/>
        <v>#DIV/0!</v>
      </c>
      <c r="O48" s="61" t="e">
        <f t="shared" si="9"/>
        <v>#DIV/0!</v>
      </c>
      <c r="P48" s="61" t="e">
        <f t="shared" si="9"/>
        <v>#DIV/0!</v>
      </c>
      <c r="Q48" s="61" t="e">
        <f t="shared" si="9"/>
        <v>#DIV/0!</v>
      </c>
      <c r="R48" s="61" t="e">
        <f t="shared" si="9"/>
        <v>#DIV/0!</v>
      </c>
      <c r="S48" s="61" t="e">
        <f t="shared" si="9"/>
        <v>#DIV/0!</v>
      </c>
      <c r="T48" s="61" t="e">
        <f t="shared" si="9"/>
        <v>#DIV/0!</v>
      </c>
      <c r="U48" s="27"/>
    </row>
    <row r="49" spans="1:21" ht="15">
      <c r="A49" t="s">
        <v>33</v>
      </c>
      <c r="B49" s="7" t="e">
        <f>gjeld_old+Brutto_låneopptak-Avdragsutgifter</f>
        <v>#DIV/0!</v>
      </c>
      <c r="C49" s="7"/>
      <c r="D49" t="s">
        <v>33</v>
      </c>
      <c r="E49" s="61" t="e">
        <f>Gjeld/1000</f>
        <v>#DIV/0!</v>
      </c>
      <c r="F49" s="61" t="e">
        <f>E49-F44+F47</f>
        <v>#DIV/0!</v>
      </c>
      <c r="G49" s="61" t="e">
        <f>F49-G44+G47</f>
        <v>#DIV/0!</v>
      </c>
      <c r="H49" s="61" t="e">
        <f t="shared" ref="H49:T49" si="10">G49-H44+H47</f>
        <v>#DIV/0!</v>
      </c>
      <c r="I49" s="61" t="e">
        <f t="shared" si="10"/>
        <v>#DIV/0!</v>
      </c>
      <c r="J49" s="61" t="e">
        <f t="shared" si="10"/>
        <v>#DIV/0!</v>
      </c>
      <c r="K49" s="61" t="e">
        <f t="shared" si="10"/>
        <v>#DIV/0!</v>
      </c>
      <c r="L49" s="61" t="e">
        <f t="shared" si="10"/>
        <v>#DIV/0!</v>
      </c>
      <c r="M49" s="61" t="e">
        <f t="shared" si="10"/>
        <v>#DIV/0!</v>
      </c>
      <c r="N49" s="61" t="e">
        <f t="shared" si="10"/>
        <v>#DIV/0!</v>
      </c>
      <c r="O49" s="61" t="e">
        <f t="shared" si="10"/>
        <v>#DIV/0!</v>
      </c>
      <c r="P49" s="61" t="e">
        <f t="shared" si="10"/>
        <v>#DIV/0!</v>
      </c>
      <c r="Q49" s="61" t="e">
        <f t="shared" si="10"/>
        <v>#DIV/0!</v>
      </c>
      <c r="R49" s="61" t="e">
        <f t="shared" si="10"/>
        <v>#DIV/0!</v>
      </c>
      <c r="S49" s="61" t="e">
        <f t="shared" si="10"/>
        <v>#DIV/0!</v>
      </c>
      <c r="T49" s="61" t="e">
        <f t="shared" si="10"/>
        <v>#DIV/0!</v>
      </c>
      <c r="U49" s="27"/>
    </row>
    <row r="50" spans="1:21" ht="15">
      <c r="A50" t="s">
        <v>34</v>
      </c>
      <c r="B50" s="2" t="e">
        <f>Gjeld/(drinnt+Renteinntekter_og_utbytte)</f>
        <v>#DIV/0!</v>
      </c>
      <c r="C50" s="2"/>
      <c r="D50" t="s">
        <v>180</v>
      </c>
      <c r="E50" s="1" t="e">
        <f>E49/(E40+E41)</f>
        <v>#DIV/0!</v>
      </c>
      <c r="F50" s="1" t="e">
        <f>F49/(F40+F41)</f>
        <v>#DIV/0!</v>
      </c>
      <c r="G50" s="1" t="e">
        <f>G49/(G40+G41)</f>
        <v>#DIV/0!</v>
      </c>
      <c r="H50" s="1" t="e">
        <f t="shared" ref="H50:T50" si="11">H49/(H40+H41)</f>
        <v>#DIV/0!</v>
      </c>
      <c r="I50" s="1" t="e">
        <f t="shared" si="11"/>
        <v>#DIV/0!</v>
      </c>
      <c r="J50" s="1" t="e">
        <f t="shared" si="11"/>
        <v>#DIV/0!</v>
      </c>
      <c r="K50" s="1" t="e">
        <f t="shared" si="11"/>
        <v>#DIV/0!</v>
      </c>
      <c r="L50" s="1" t="e">
        <f t="shared" si="11"/>
        <v>#DIV/0!</v>
      </c>
      <c r="M50" s="1" t="e">
        <f t="shared" si="11"/>
        <v>#DIV/0!</v>
      </c>
      <c r="N50" s="1" t="e">
        <f t="shared" si="11"/>
        <v>#DIV/0!</v>
      </c>
      <c r="O50" s="1" t="e">
        <f t="shared" si="11"/>
        <v>#DIV/0!</v>
      </c>
      <c r="P50" s="1" t="e">
        <f t="shared" si="11"/>
        <v>#DIV/0!</v>
      </c>
      <c r="Q50" s="1" t="e">
        <f t="shared" si="11"/>
        <v>#DIV/0!</v>
      </c>
      <c r="R50" s="1" t="e">
        <f t="shared" si="11"/>
        <v>#DIV/0!</v>
      </c>
      <c r="S50" s="1" t="e">
        <f t="shared" si="11"/>
        <v>#DIV/0!</v>
      </c>
      <c r="T50" s="1" t="e">
        <f t="shared" si="11"/>
        <v>#DIV/0!</v>
      </c>
      <c r="U50" s="27"/>
    </row>
    <row r="51" spans="1:21" ht="15">
      <c r="A51" t="s">
        <v>36</v>
      </c>
      <c r="B51" s="2" t="e">
        <f>(drinnt-Driftsutgifter-Renteutgifter-Avdragsutgifter+Renteinntekter_og_utbytte)/drinnt</f>
        <v>#DIV/0!</v>
      </c>
      <c r="C51" s="2"/>
      <c r="D51" t="s">
        <v>181</v>
      </c>
      <c r="E51" s="1" t="e">
        <f>(E40-E42-E43-E44+E41)/E40</f>
        <v>#DIV/0!</v>
      </c>
      <c r="F51" s="1" t="e">
        <f>(F40-F42-F43-F44+F41)/F40</f>
        <v>#DIV/0!</v>
      </c>
      <c r="G51" s="1" t="e">
        <f>(G40-G42-G43-G44+G41)/G40</f>
        <v>#DIV/0!</v>
      </c>
      <c r="H51" s="1" t="e">
        <f t="shared" ref="H51:T51" si="12">(H40-H42-H43-H44+H41)/H40</f>
        <v>#DIV/0!</v>
      </c>
      <c r="I51" s="1" t="e">
        <f t="shared" si="12"/>
        <v>#DIV/0!</v>
      </c>
      <c r="J51" s="1" t="e">
        <f t="shared" si="12"/>
        <v>#DIV/0!</v>
      </c>
      <c r="K51" s="1" t="e">
        <f t="shared" si="12"/>
        <v>#DIV/0!</v>
      </c>
      <c r="L51" s="1" t="e">
        <f t="shared" si="12"/>
        <v>#DIV/0!</v>
      </c>
      <c r="M51" s="1" t="e">
        <f t="shared" si="12"/>
        <v>#DIV/0!</v>
      </c>
      <c r="N51" s="1" t="e">
        <f t="shared" si="12"/>
        <v>#DIV/0!</v>
      </c>
      <c r="O51" s="1" t="e">
        <f t="shared" si="12"/>
        <v>#DIV/0!</v>
      </c>
      <c r="P51" s="1" t="e">
        <f t="shared" si="12"/>
        <v>#DIV/0!</v>
      </c>
      <c r="Q51" s="1" t="e">
        <f t="shared" si="12"/>
        <v>#DIV/0!</v>
      </c>
      <c r="R51" s="1" t="e">
        <f t="shared" si="12"/>
        <v>#DIV/0!</v>
      </c>
      <c r="S51" s="1" t="e">
        <f t="shared" si="12"/>
        <v>#DIV/0!</v>
      </c>
      <c r="T51" s="1" t="e">
        <f t="shared" si="12"/>
        <v>#DIV/0!</v>
      </c>
      <c r="U51" s="27"/>
    </row>
    <row r="52" spans="1:21" ht="15">
      <c r="A52" t="s">
        <v>149</v>
      </c>
      <c r="B52" s="2" t="e">
        <f>F51</f>
        <v>#DIV/0!</v>
      </c>
      <c r="C52" s="2"/>
      <c r="D52" t="s">
        <v>37</v>
      </c>
      <c r="E52" s="1" t="e">
        <f>(E45-E46-E47)/E40</f>
        <v>#DIV/0!</v>
      </c>
      <c r="F52" s="1" t="e">
        <f>(F45-F46-F47)/F40</f>
        <v>#DIV/0!</v>
      </c>
      <c r="G52" s="1" t="e">
        <f t="shared" ref="G52:T52" si="13">(G45-G46-G47)/G40</f>
        <v>#DIV/0!</v>
      </c>
      <c r="H52" s="1" t="e">
        <f t="shared" si="13"/>
        <v>#DIV/0!</v>
      </c>
      <c r="I52" s="1" t="e">
        <f t="shared" si="13"/>
        <v>#DIV/0!</v>
      </c>
      <c r="J52" s="1" t="e">
        <f t="shared" si="13"/>
        <v>#DIV/0!</v>
      </c>
      <c r="K52" s="1" t="e">
        <f t="shared" si="13"/>
        <v>#DIV/0!</v>
      </c>
      <c r="L52" s="1" t="e">
        <f t="shared" si="13"/>
        <v>#DIV/0!</v>
      </c>
      <c r="M52" s="1" t="e">
        <f t="shared" si="13"/>
        <v>#DIV/0!</v>
      </c>
      <c r="N52" s="1" t="e">
        <f t="shared" si="13"/>
        <v>#DIV/0!</v>
      </c>
      <c r="O52" s="1" t="e">
        <f t="shared" si="13"/>
        <v>#DIV/0!</v>
      </c>
      <c r="P52" s="1" t="e">
        <f t="shared" si="13"/>
        <v>#DIV/0!</v>
      </c>
      <c r="Q52" s="1" t="e">
        <f t="shared" si="13"/>
        <v>#DIV/0!</v>
      </c>
      <c r="R52" s="1" t="e">
        <f t="shared" si="13"/>
        <v>#DIV/0!</v>
      </c>
      <c r="S52" s="1" t="e">
        <f t="shared" si="13"/>
        <v>#DIV/0!</v>
      </c>
      <c r="T52" s="1" t="e">
        <f t="shared" si="13"/>
        <v>#DIV/0!</v>
      </c>
      <c r="U52" s="27"/>
    </row>
    <row r="53" spans="1:21" ht="15">
      <c r="A53" t="s">
        <v>37</v>
      </c>
      <c r="B53" s="3" t="e">
        <f>(Investeringer-Investeringsinntekter-Brutto_låneopptak)/drinnt</f>
        <v>#DIV/0!</v>
      </c>
      <c r="C53" s="3"/>
      <c r="D53" t="s">
        <v>52</v>
      </c>
      <c r="E53" s="1" t="e">
        <f>E52</f>
        <v>#DIV/0!</v>
      </c>
      <c r="F53" s="1" t="e">
        <f>IF(Differanse_disposisjonsfond&lt;0,F52-Differanse_disposisjonsfond/År_på_bygge_opp_dispfond,F52)</f>
        <v>#DIV/0!</v>
      </c>
      <c r="G53" s="1" t="e">
        <f>IF(Differanse_disposisjonsfond&lt;0,G52-Differanse_disposisjonsfond/År_på_bygge_opp_dispfond,G52)</f>
        <v>#DIV/0!</v>
      </c>
      <c r="H53" s="1" t="e">
        <f>IF(Differanse_disposisjonsfond&lt;0,H52-Differanse_disposisjonsfond/År_på_bygge_opp_dispfond,H52)</f>
        <v>#DIV/0!</v>
      </c>
      <c r="I53" s="1" t="e">
        <f>IF(Differanse_disposisjonsfond&lt;0,I52-Differanse_disposisjonsfond/År_på_bygge_opp_dispfond,I52)</f>
        <v>#DIV/0!</v>
      </c>
      <c r="J53" s="56" t="e">
        <f t="shared" ref="J53:T53" si="14">IF(I55&lt;Minimum_disposisjonsfond,J52+J54*vekst_driftsinntekter/J40,J52)</f>
        <v>#DIV/0!</v>
      </c>
      <c r="K53" s="56" t="e">
        <f t="shared" si="14"/>
        <v>#DIV/0!</v>
      </c>
      <c r="L53" s="56" t="e">
        <f t="shared" si="14"/>
        <v>#DIV/0!</v>
      </c>
      <c r="M53" s="56" t="e">
        <f t="shared" si="14"/>
        <v>#DIV/0!</v>
      </c>
      <c r="N53" s="56" t="e">
        <f t="shared" si="14"/>
        <v>#DIV/0!</v>
      </c>
      <c r="O53" s="56" t="e">
        <f t="shared" si="14"/>
        <v>#DIV/0!</v>
      </c>
      <c r="P53" s="56" t="e">
        <f t="shared" si="14"/>
        <v>#DIV/0!</v>
      </c>
      <c r="Q53" s="56" t="e">
        <f t="shared" si="14"/>
        <v>#DIV/0!</v>
      </c>
      <c r="R53" s="56" t="e">
        <f t="shared" si="14"/>
        <v>#DIV/0!</v>
      </c>
      <c r="S53" s="56" t="e">
        <f t="shared" si="14"/>
        <v>#DIV/0!</v>
      </c>
      <c r="T53" s="56" t="e">
        <f t="shared" si="14"/>
        <v>#DIV/0!</v>
      </c>
      <c r="U53" s="27"/>
    </row>
    <row r="54" spans="1:21" ht="15">
      <c r="A54" t="s">
        <v>148</v>
      </c>
      <c r="B54" s="2" t="e">
        <f>F52</f>
        <v>#DIV/0!</v>
      </c>
      <c r="C54" s="2"/>
      <c r="D54" s="9" t="s">
        <v>98</v>
      </c>
      <c r="E54" s="81">
        <f>dispfond/1000</f>
        <v>0</v>
      </c>
      <c r="F54" s="82" t="e">
        <f>IF(Differanse_disposisjonsfond&lt;0,E54-Differanse_disposisjonsfond*F40/År_på_bygge_opp_dispfond,E54)</f>
        <v>#DIV/0!</v>
      </c>
      <c r="G54" s="82" t="e">
        <f>IF(Differanse_disposisjonsfond&lt;0,F54-Differanse_disposisjonsfond*G40/År_på_bygge_opp_dispfond,F54)</f>
        <v>#DIV/0!</v>
      </c>
      <c r="H54" s="82" t="e">
        <f>IF(Differanse_disposisjonsfond&lt;0,G54-Differanse_disposisjonsfond*H40/År_på_bygge_opp_dispfond,G54)</f>
        <v>#DIV/0!</v>
      </c>
      <c r="I54" s="82" t="e">
        <f>IF(Differanse_disposisjonsfond&lt;0,H54-Differanse_disposisjonsfond*I40/År_på_bygge_opp_dispfond,H54)</f>
        <v>#DIV/0!</v>
      </c>
      <c r="J54" s="82" t="e">
        <f t="shared" ref="J54:T54" si="15">IF(I55&lt;Minimum_disposisjonsfond,I54*(1+vekst_driftsinntekter),I54)</f>
        <v>#DIV/0!</v>
      </c>
      <c r="K54" s="82" t="e">
        <f t="shared" si="15"/>
        <v>#DIV/0!</v>
      </c>
      <c r="L54" s="82" t="e">
        <f t="shared" si="15"/>
        <v>#DIV/0!</v>
      </c>
      <c r="M54" s="82" t="e">
        <f t="shared" si="15"/>
        <v>#DIV/0!</v>
      </c>
      <c r="N54" s="82" t="e">
        <f t="shared" si="15"/>
        <v>#DIV/0!</v>
      </c>
      <c r="O54" s="82" t="e">
        <f t="shared" si="15"/>
        <v>#DIV/0!</v>
      </c>
      <c r="P54" s="82" t="e">
        <f t="shared" si="15"/>
        <v>#DIV/0!</v>
      </c>
      <c r="Q54" s="82" t="e">
        <f t="shared" si="15"/>
        <v>#DIV/0!</v>
      </c>
      <c r="R54" s="82" t="e">
        <f t="shared" si="15"/>
        <v>#DIV/0!</v>
      </c>
      <c r="S54" s="82" t="e">
        <f t="shared" si="15"/>
        <v>#DIV/0!</v>
      </c>
      <c r="T54" s="82" t="e">
        <f t="shared" si="15"/>
        <v>#DIV/0!</v>
      </c>
      <c r="U54" s="27"/>
    </row>
    <row r="55" spans="1:21" ht="15">
      <c r="B55" s="7"/>
      <c r="C55" s="7"/>
      <c r="D55" s="9" t="s">
        <v>137</v>
      </c>
      <c r="E55" s="56" t="e">
        <f>E54/E40</f>
        <v>#DIV/0!</v>
      </c>
      <c r="F55" s="56" t="e">
        <f t="shared" ref="F55:T55" si="16">F54/F40</f>
        <v>#DIV/0!</v>
      </c>
      <c r="G55" s="56" t="e">
        <f t="shared" si="16"/>
        <v>#DIV/0!</v>
      </c>
      <c r="H55" s="56" t="e">
        <f t="shared" si="16"/>
        <v>#DIV/0!</v>
      </c>
      <c r="I55" s="56" t="e">
        <f t="shared" si="16"/>
        <v>#DIV/0!</v>
      </c>
      <c r="J55" s="56" t="e">
        <f t="shared" si="16"/>
        <v>#DIV/0!</v>
      </c>
      <c r="K55" s="56" t="e">
        <f t="shared" si="16"/>
        <v>#DIV/0!</v>
      </c>
      <c r="L55" s="56" t="e">
        <f t="shared" si="16"/>
        <v>#DIV/0!</v>
      </c>
      <c r="M55" s="56" t="e">
        <f t="shared" si="16"/>
        <v>#DIV/0!</v>
      </c>
      <c r="N55" s="56" t="e">
        <f t="shared" si="16"/>
        <v>#DIV/0!</v>
      </c>
      <c r="O55" s="56" t="e">
        <f t="shared" si="16"/>
        <v>#DIV/0!</v>
      </c>
      <c r="P55" s="56" t="e">
        <f t="shared" si="16"/>
        <v>#DIV/0!</v>
      </c>
      <c r="Q55" s="56" t="e">
        <f t="shared" si="16"/>
        <v>#DIV/0!</v>
      </c>
      <c r="R55" s="56" t="e">
        <f t="shared" si="16"/>
        <v>#DIV/0!</v>
      </c>
      <c r="S55" s="56" t="e">
        <f t="shared" si="16"/>
        <v>#DIV/0!</v>
      </c>
      <c r="T55" s="56" t="e">
        <f t="shared" si="16"/>
        <v>#DIV/0!</v>
      </c>
      <c r="U55" s="27"/>
    </row>
    <row r="56" spans="1:21" ht="15">
      <c r="A56" s="9" t="s">
        <v>24</v>
      </c>
      <c r="D56" s="9" t="s">
        <v>136</v>
      </c>
      <c r="E56" s="57" t="e">
        <f>E42/(E40+E41)</f>
        <v>#DIV/0!</v>
      </c>
      <c r="F56" s="57" t="e">
        <f>F42/(F40+F41)</f>
        <v>#DIV/0!</v>
      </c>
      <c r="G56" s="57" t="e">
        <f>G42/(G40+G41)</f>
        <v>#DIV/0!</v>
      </c>
      <c r="H56" s="57" t="e">
        <f t="shared" ref="H56:T56" si="17">H42/(H40+H41)</f>
        <v>#DIV/0!</v>
      </c>
      <c r="I56" s="57" t="e">
        <f t="shared" si="17"/>
        <v>#DIV/0!</v>
      </c>
      <c r="J56" s="57" t="e">
        <f t="shared" si="17"/>
        <v>#DIV/0!</v>
      </c>
      <c r="K56" s="57" t="e">
        <f t="shared" si="17"/>
        <v>#DIV/0!</v>
      </c>
      <c r="L56" s="57" t="e">
        <f t="shared" si="17"/>
        <v>#DIV/0!</v>
      </c>
      <c r="M56" s="57" t="e">
        <f t="shared" si="17"/>
        <v>#DIV/0!</v>
      </c>
      <c r="N56" s="57" t="e">
        <f t="shared" si="17"/>
        <v>#DIV/0!</v>
      </c>
      <c r="O56" s="57" t="e">
        <f t="shared" si="17"/>
        <v>#DIV/0!</v>
      </c>
      <c r="P56" s="57" t="e">
        <f t="shared" si="17"/>
        <v>#DIV/0!</v>
      </c>
      <c r="Q56" s="57" t="e">
        <f t="shared" si="17"/>
        <v>#DIV/0!</v>
      </c>
      <c r="R56" s="57" t="e">
        <f t="shared" si="17"/>
        <v>#DIV/0!</v>
      </c>
      <c r="S56" s="57" t="e">
        <f t="shared" si="17"/>
        <v>#DIV/0!</v>
      </c>
      <c r="T56" s="57" t="e">
        <f t="shared" si="17"/>
        <v>#DIV/0!</v>
      </c>
      <c r="U56" s="27"/>
    </row>
    <row r="57" spans="1:21" ht="15">
      <c r="A57" t="s">
        <v>13</v>
      </c>
      <c r="B57" s="4">
        <f>SUMPRODUCT((kommnr_kol=Kommunenr)*(skatt_inntf_natur_kol))*(1+vekst_driftsinntekter)</f>
        <v>0</v>
      </c>
      <c r="D57" s="9" t="s">
        <v>138</v>
      </c>
      <c r="E57" s="1" t="e">
        <f>E46/E45</f>
        <v>#DIV/0!</v>
      </c>
      <c r="F57" s="1" t="e">
        <f t="shared" ref="F57:T57" si="18">F46/F45</f>
        <v>#DIV/0!</v>
      </c>
      <c r="G57" s="1" t="e">
        <f t="shared" si="18"/>
        <v>#DIV/0!</v>
      </c>
      <c r="H57" s="1" t="e">
        <f t="shared" si="18"/>
        <v>#DIV/0!</v>
      </c>
      <c r="I57" s="1" t="e">
        <f t="shared" si="18"/>
        <v>#DIV/0!</v>
      </c>
      <c r="J57" s="1" t="e">
        <f t="shared" si="18"/>
        <v>#DIV/0!</v>
      </c>
      <c r="K57" s="1" t="e">
        <f t="shared" si="18"/>
        <v>#DIV/0!</v>
      </c>
      <c r="L57" s="1" t="e">
        <f t="shared" si="18"/>
        <v>#DIV/0!</v>
      </c>
      <c r="M57" s="1" t="e">
        <f t="shared" si="18"/>
        <v>#DIV/0!</v>
      </c>
      <c r="N57" s="1" t="e">
        <f t="shared" si="18"/>
        <v>#DIV/0!</v>
      </c>
      <c r="O57" s="1" t="e">
        <f t="shared" si="18"/>
        <v>#DIV/0!</v>
      </c>
      <c r="P57" s="1" t="e">
        <f t="shared" si="18"/>
        <v>#DIV/0!</v>
      </c>
      <c r="Q57" s="1" t="e">
        <f t="shared" si="18"/>
        <v>#DIV/0!</v>
      </c>
      <c r="R57" s="1" t="e">
        <f t="shared" si="18"/>
        <v>#DIV/0!</v>
      </c>
      <c r="S57" s="1" t="e">
        <f t="shared" si="18"/>
        <v>#DIV/0!</v>
      </c>
      <c r="T57" s="1" t="e">
        <f t="shared" si="18"/>
        <v>#DIV/0!</v>
      </c>
      <c r="U57" s="27"/>
    </row>
    <row r="58" spans="1:21" ht="15">
      <c r="A58" t="s">
        <v>14</v>
      </c>
      <c r="B58" s="4">
        <f>SUMPRODUCT((kommnr_kol=Kommunenr)*(andre_skatter_kol))*(1+vekst_driftsinntekter)</f>
        <v>0</v>
      </c>
      <c r="D58" s="9" t="s">
        <v>139</v>
      </c>
      <c r="E58" s="57" t="e">
        <f>E45/E42</f>
        <v>#DIV/0!</v>
      </c>
      <c r="F58" s="57" t="e">
        <f t="shared" ref="F58:T58" si="19">F45/F42</f>
        <v>#DIV/0!</v>
      </c>
      <c r="G58" s="57" t="e">
        <f t="shared" si="19"/>
        <v>#DIV/0!</v>
      </c>
      <c r="H58" s="57" t="e">
        <f t="shared" si="19"/>
        <v>#DIV/0!</v>
      </c>
      <c r="I58" s="57" t="e">
        <f t="shared" si="19"/>
        <v>#DIV/0!</v>
      </c>
      <c r="J58" s="57" t="e">
        <f t="shared" si="19"/>
        <v>#DIV/0!</v>
      </c>
      <c r="K58" s="57" t="e">
        <f t="shared" si="19"/>
        <v>#DIV/0!</v>
      </c>
      <c r="L58" s="57" t="e">
        <f t="shared" si="19"/>
        <v>#DIV/0!</v>
      </c>
      <c r="M58" s="57" t="e">
        <f t="shared" si="19"/>
        <v>#DIV/0!</v>
      </c>
      <c r="N58" s="57" t="e">
        <f t="shared" si="19"/>
        <v>#DIV/0!</v>
      </c>
      <c r="O58" s="57" t="e">
        <f t="shared" si="19"/>
        <v>#DIV/0!</v>
      </c>
      <c r="P58" s="57" t="e">
        <f t="shared" si="19"/>
        <v>#DIV/0!</v>
      </c>
      <c r="Q58" s="57" t="e">
        <f t="shared" si="19"/>
        <v>#DIV/0!</v>
      </c>
      <c r="R58" s="57" t="e">
        <f t="shared" si="19"/>
        <v>#DIV/0!</v>
      </c>
      <c r="S58" s="57" t="e">
        <f t="shared" si="19"/>
        <v>#DIV/0!</v>
      </c>
      <c r="T58" s="57" t="e">
        <f t="shared" si="19"/>
        <v>#DIV/0!</v>
      </c>
      <c r="U58" s="27"/>
    </row>
    <row r="59" spans="1:21" ht="15">
      <c r="A59" t="s">
        <v>46</v>
      </c>
      <c r="B59" s="5">
        <f>IF(andel_skatt&lt;0.9,Risiko_skatt_under_90,Risiko_skatt_over_90)</f>
        <v>5.0000000000000001E-3</v>
      </c>
      <c r="D59" s="9" t="s">
        <v>140</v>
      </c>
      <c r="E59" s="1" t="e">
        <f>E44*1000/gjeld_old</f>
        <v>#DIV/0!</v>
      </c>
      <c r="F59" s="1" t="e">
        <f>F44/E49</f>
        <v>#DIV/0!</v>
      </c>
      <c r="G59" s="1" t="e">
        <f t="shared" ref="G59:T59" si="20">G44/F49</f>
        <v>#DIV/0!</v>
      </c>
      <c r="H59" s="1" t="e">
        <f t="shared" si="20"/>
        <v>#DIV/0!</v>
      </c>
      <c r="I59" s="1" t="e">
        <f t="shared" si="20"/>
        <v>#DIV/0!</v>
      </c>
      <c r="J59" s="1" t="e">
        <f t="shared" si="20"/>
        <v>#DIV/0!</v>
      </c>
      <c r="K59" s="1" t="e">
        <f t="shared" si="20"/>
        <v>#DIV/0!</v>
      </c>
      <c r="L59" s="1" t="e">
        <f t="shared" si="20"/>
        <v>#DIV/0!</v>
      </c>
      <c r="M59" s="1" t="e">
        <f t="shared" si="20"/>
        <v>#DIV/0!</v>
      </c>
      <c r="N59" s="1" t="e">
        <f t="shared" si="20"/>
        <v>#DIV/0!</v>
      </c>
      <c r="O59" s="1" t="e">
        <f t="shared" si="20"/>
        <v>#DIV/0!</v>
      </c>
      <c r="P59" s="1" t="e">
        <f t="shared" si="20"/>
        <v>#DIV/0!</v>
      </c>
      <c r="Q59" s="1" t="e">
        <f t="shared" si="20"/>
        <v>#DIV/0!</v>
      </c>
      <c r="R59" s="1" t="e">
        <f t="shared" si="20"/>
        <v>#DIV/0!</v>
      </c>
      <c r="S59" s="1" t="e">
        <f t="shared" si="20"/>
        <v>#DIV/0!</v>
      </c>
      <c r="T59" s="1" t="e">
        <f t="shared" si="20"/>
        <v>#DIV/0!</v>
      </c>
      <c r="U59" s="27"/>
    </row>
    <row r="60" spans="1:21" ht="15">
      <c r="A60" t="s">
        <v>45</v>
      </c>
      <c r="B60" s="7">
        <f>renteinnt_utbytte_old*Risiko_renteinntekt+skatt_inntf_natur*skatterisiko+andre_skatter_d*Risiko_andre_skatter</f>
        <v>0</v>
      </c>
      <c r="D60" s="9" t="s">
        <v>151</v>
      </c>
      <c r="F60" s="61" t="e">
        <f>IF(F51&lt;F53,(F53-F51)*F40,0)</f>
        <v>#DIV/0!</v>
      </c>
      <c r="G60" s="61" t="e">
        <f>IF(G51&lt;G53,(G53-G51)*G40+F60,F60)</f>
        <v>#DIV/0!</v>
      </c>
      <c r="H60" s="61" t="e">
        <f t="shared" ref="H60:I60" si="21">IF(H51&lt;H53,(H53-H51)*H40+G60,G60)</f>
        <v>#DIV/0!</v>
      </c>
      <c r="I60" s="61" t="e">
        <f t="shared" si="21"/>
        <v>#DIV/0!</v>
      </c>
      <c r="J60" s="61" t="e">
        <f>IF(J51&lt;J53,(J53-J51)*J40+I60,IF(I60&gt;0,MAXA(I60-(J51-J53)*J40,0),I60))</f>
        <v>#DIV/0!</v>
      </c>
      <c r="K60" s="61" t="e">
        <f t="shared" ref="K60:T60" si="22">IF(K51&lt;K53,(K53-K51)*K40+J60,IF(J60&gt;0,MAXA(J60-(K51-K53)*K40,0),J60))</f>
        <v>#DIV/0!</v>
      </c>
      <c r="L60" s="61" t="e">
        <f t="shared" si="22"/>
        <v>#DIV/0!</v>
      </c>
      <c r="M60" s="61" t="e">
        <f t="shared" si="22"/>
        <v>#DIV/0!</v>
      </c>
      <c r="N60" s="61" t="e">
        <f t="shared" si="22"/>
        <v>#DIV/0!</v>
      </c>
      <c r="O60" s="61" t="e">
        <f t="shared" si="22"/>
        <v>#DIV/0!</v>
      </c>
      <c r="P60" s="61" t="e">
        <f t="shared" si="22"/>
        <v>#DIV/0!</v>
      </c>
      <c r="Q60" s="61" t="e">
        <f t="shared" si="22"/>
        <v>#DIV/0!</v>
      </c>
      <c r="R60" s="61" t="e">
        <f t="shared" si="22"/>
        <v>#DIV/0!</v>
      </c>
      <c r="S60" s="61" t="e">
        <f t="shared" si="22"/>
        <v>#DIV/0!</v>
      </c>
      <c r="T60" s="61" t="e">
        <f t="shared" si="22"/>
        <v>#DIV/0!</v>
      </c>
      <c r="U60" s="27"/>
    </row>
    <row r="61" spans="1:21" ht="15">
      <c r="A61" t="s">
        <v>47</v>
      </c>
      <c r="B61" s="7">
        <f>MAXA(renteeksp_gjeld*(1-Andel_rentebinding)*Renteøkning_lån*År_renteoppgang-finansformue*Renteøkning_avkastning*År_renteoppgang,0)</f>
        <v>0</v>
      </c>
      <c r="D61" s="9" t="s">
        <v>70</v>
      </c>
      <c r="E61" s="61">
        <f>finansformue/1000</f>
        <v>0</v>
      </c>
      <c r="F61" s="61" t="e">
        <f>IF(F51&gt;F53,((F51-F53)*F40+E61),E61)</f>
        <v>#DIV/0!</v>
      </c>
      <c r="G61" s="61" t="e">
        <f>IF(G51&gt;G53,(G51-G53)*G40+F61+avkastning_finansformue*($E$61-F61),F61)</f>
        <v>#DIV/0!</v>
      </c>
      <c r="H61" s="61" t="e">
        <f>IF(H51&gt;H53,(H51-H53)*H40+G61+avkastning_finansformue*($E$61-G61),G61)</f>
        <v>#DIV/0!</v>
      </c>
      <c r="I61" s="61" t="e">
        <f>IF(I51&gt;I53,(I51-I53)*I40+H61+avkastning_finansformue*($E$61-H61),H61)</f>
        <v>#DIV/0!</v>
      </c>
      <c r="J61" s="61" t="e">
        <f t="shared" ref="J61:T61" si="23">IF(J51&gt;J53,IF(I60=0,(J51-J53)*J40+I61+avkastning_finansformue*(I61-$E$61),I61),I61)</f>
        <v>#DIV/0!</v>
      </c>
      <c r="K61" s="61" t="e">
        <f t="shared" si="23"/>
        <v>#DIV/0!</v>
      </c>
      <c r="L61" s="61" t="e">
        <f t="shared" si="23"/>
        <v>#DIV/0!</v>
      </c>
      <c r="M61" s="61" t="e">
        <f t="shared" si="23"/>
        <v>#DIV/0!</v>
      </c>
      <c r="N61" s="61" t="e">
        <f t="shared" si="23"/>
        <v>#DIV/0!</v>
      </c>
      <c r="O61" s="61" t="e">
        <f t="shared" si="23"/>
        <v>#DIV/0!</v>
      </c>
      <c r="P61" s="61" t="e">
        <f t="shared" si="23"/>
        <v>#DIV/0!</v>
      </c>
      <c r="Q61" s="61" t="e">
        <f t="shared" si="23"/>
        <v>#DIV/0!</v>
      </c>
      <c r="R61" s="61" t="e">
        <f t="shared" si="23"/>
        <v>#DIV/0!</v>
      </c>
      <c r="S61" s="61" t="e">
        <f t="shared" si="23"/>
        <v>#DIV/0!</v>
      </c>
      <c r="T61" s="61" t="e">
        <f t="shared" si="23"/>
        <v>#DIV/0!</v>
      </c>
      <c r="U61" s="27"/>
    </row>
    <row r="62" spans="1:21" ht="15">
      <c r="B62" s="7"/>
      <c r="D62" s="9" t="s">
        <v>176</v>
      </c>
      <c r="E62" s="61"/>
      <c r="F62" s="61" t="e">
        <f>F61-$E61</f>
        <v>#DIV/0!</v>
      </c>
      <c r="G62" s="61" t="e">
        <f t="shared" ref="G62:T62" si="24">G61-$E61</f>
        <v>#DIV/0!</v>
      </c>
      <c r="H62" s="61" t="e">
        <f t="shared" si="24"/>
        <v>#DIV/0!</v>
      </c>
      <c r="I62" s="61" t="e">
        <f t="shared" si="24"/>
        <v>#DIV/0!</v>
      </c>
      <c r="J62" s="61" t="e">
        <f t="shared" si="24"/>
        <v>#DIV/0!</v>
      </c>
      <c r="K62" s="61" t="e">
        <f t="shared" si="24"/>
        <v>#DIV/0!</v>
      </c>
      <c r="L62" s="61" t="e">
        <f t="shared" si="24"/>
        <v>#DIV/0!</v>
      </c>
      <c r="M62" s="61" t="e">
        <f t="shared" si="24"/>
        <v>#DIV/0!</v>
      </c>
      <c r="N62" s="61" t="e">
        <f t="shared" si="24"/>
        <v>#DIV/0!</v>
      </c>
      <c r="O62" s="61" t="e">
        <f t="shared" si="24"/>
        <v>#DIV/0!</v>
      </c>
      <c r="P62" s="61" t="e">
        <f t="shared" si="24"/>
        <v>#DIV/0!</v>
      </c>
      <c r="Q62" s="61" t="e">
        <f t="shared" si="24"/>
        <v>#DIV/0!</v>
      </c>
      <c r="R62" s="61" t="e">
        <f t="shared" si="24"/>
        <v>#DIV/0!</v>
      </c>
      <c r="S62" s="61" t="e">
        <f t="shared" si="24"/>
        <v>#DIV/0!</v>
      </c>
      <c r="T62" s="61" t="e">
        <f t="shared" si="24"/>
        <v>#DIV/0!</v>
      </c>
      <c r="U62" s="27"/>
    </row>
    <row r="63" spans="1:21" ht="15.6" customHeight="1">
      <c r="A63" t="s">
        <v>48</v>
      </c>
      <c r="B63" s="7">
        <f>MAXA(B61,B60)</f>
        <v>0</v>
      </c>
      <c r="D63" s="27"/>
      <c r="E63" s="27"/>
      <c r="F63" s="27"/>
      <c r="G63" s="27"/>
      <c r="H63" s="27"/>
      <c r="I63" s="27"/>
      <c r="J63" s="27"/>
      <c r="K63" s="27"/>
      <c r="L63" s="27"/>
      <c r="M63" s="27"/>
      <c r="N63" s="27"/>
      <c r="O63" s="27"/>
      <c r="P63" s="27"/>
      <c r="Q63" s="27"/>
      <c r="R63" s="27"/>
      <c r="S63" s="27"/>
      <c r="T63" s="27"/>
      <c r="U63" s="27"/>
    </row>
    <row r="64" spans="1:21" ht="15.6" hidden="1" customHeight="1">
      <c r="A64" t="s">
        <v>49</v>
      </c>
      <c r="B64" s="2" t="e">
        <f>B63/drinnt+0.02</f>
        <v>#DIV/0!</v>
      </c>
      <c r="D64" s="60"/>
    </row>
    <row r="65" spans="1:20" ht="15.6" hidden="1" customHeight="1">
      <c r="A65" t="s">
        <v>50</v>
      </c>
      <c r="B65" s="2" t="e">
        <f>dispfond/drinnt</f>
        <v>#DIV/0!</v>
      </c>
      <c r="D65" s="59"/>
      <c r="E65" s="7"/>
      <c r="F65" s="7"/>
      <c r="G65" s="7"/>
      <c r="H65" s="7"/>
      <c r="I65" s="7"/>
      <c r="J65" s="7"/>
      <c r="K65" s="7"/>
      <c r="L65" s="7"/>
      <c r="M65" s="7"/>
      <c r="N65" s="7"/>
      <c r="O65" s="7"/>
      <c r="P65" s="7"/>
      <c r="Q65" s="7"/>
      <c r="R65" s="7"/>
      <c r="S65" s="7"/>
      <c r="T65" s="7"/>
    </row>
    <row r="66" spans="1:20" ht="15.6" hidden="1" customHeight="1">
      <c r="A66" t="s">
        <v>51</v>
      </c>
      <c r="B66" s="10" t="e">
        <f>B65-B64</f>
        <v>#DIV/0!</v>
      </c>
      <c r="D66" s="59"/>
      <c r="E66" s="7"/>
      <c r="F66" s="7"/>
      <c r="G66" s="7"/>
      <c r="H66" s="7"/>
      <c r="I66" s="7"/>
      <c r="J66" s="7"/>
      <c r="K66" s="7"/>
      <c r="L66" s="7"/>
      <c r="M66" s="7"/>
      <c r="N66" s="7"/>
      <c r="O66" s="7"/>
      <c r="P66" s="7"/>
      <c r="Q66" s="7"/>
      <c r="R66" s="7"/>
      <c r="S66" s="7"/>
      <c r="T66" s="7"/>
    </row>
    <row r="67" spans="1:20" ht="15.6" hidden="1" customHeight="1">
      <c r="A67" t="s">
        <v>52</v>
      </c>
      <c r="B67" s="3" t="e">
        <f>IF(AND(Differanse_disposisjonsfond&lt;0,akk_merforbruk&gt;0),akk_merforbruk/(2*drinnt)+Minimum_netto_driftsresultat-Differanse_disposisjonsfond/År_på_bygge_opp_dispfond,IF(AND(Differanse_disposisjonsfond&lt;0,akk_merforbruk&lt;=0),Minimum_netto_driftsresultat-Differanse_disposisjonsfond/År_på_bygge_opp_dispfond,IF(AND(Differanse_disposisjonsfond&gt;=0,akk_merforbruk&gt;0),akk_merforbruk/(2*drinnt)+Minimum_netto_driftsresultat,Minimum_netto_driftsresultat)))</f>
        <v>#DIV/0!</v>
      </c>
      <c r="E67" s="7"/>
      <c r="F67" s="7"/>
      <c r="G67" s="7"/>
      <c r="H67" s="7"/>
      <c r="I67" s="7"/>
      <c r="J67" s="7"/>
      <c r="K67" s="7"/>
      <c r="L67" s="7"/>
      <c r="M67" s="7"/>
      <c r="N67" s="7"/>
      <c r="O67" s="7"/>
      <c r="P67" s="7"/>
      <c r="Q67" s="7"/>
      <c r="R67" s="7"/>
      <c r="S67" s="7"/>
      <c r="T67" s="7"/>
    </row>
    <row r="68" spans="1:20" ht="15.6" hidden="1" customHeight="1">
      <c r="A68" t="s">
        <v>150</v>
      </c>
      <c r="B68" s="2" t="e">
        <f>F53</f>
        <v>#DIV/0!</v>
      </c>
      <c r="F68" s="71"/>
      <c r="G68" s="71"/>
      <c r="H68" s="71"/>
      <c r="I68" s="71"/>
      <c r="J68" s="71"/>
      <c r="K68" s="71"/>
      <c r="L68" s="71"/>
      <c r="M68" s="71"/>
      <c r="N68" s="71"/>
      <c r="O68" s="71"/>
      <c r="P68" s="71"/>
      <c r="Q68" s="71"/>
      <c r="R68" s="71"/>
      <c r="S68" s="71"/>
      <c r="T68" s="71"/>
    </row>
    <row r="69" spans="1:20" ht="15.6" hidden="1" customHeight="1">
      <c r="B69" s="7"/>
      <c r="F69" s="71"/>
      <c r="G69" s="71"/>
      <c r="H69" s="71"/>
      <c r="I69" s="71"/>
      <c r="J69" s="71"/>
      <c r="K69" s="71"/>
      <c r="L69" s="71"/>
      <c r="M69" s="71"/>
      <c r="N69" s="71"/>
      <c r="O69" s="71"/>
      <c r="P69" s="71"/>
      <c r="Q69" s="71"/>
      <c r="R69" s="71"/>
      <c r="S69" s="71"/>
      <c r="T69" s="71"/>
    </row>
    <row r="70" spans="1:20" ht="15.6" hidden="1" customHeight="1">
      <c r="B70" s="7"/>
      <c r="D70" s="56"/>
      <c r="F70" s="71"/>
      <c r="G70" s="71"/>
      <c r="H70" s="71"/>
      <c r="I70" s="71"/>
      <c r="J70" s="71"/>
      <c r="K70" s="71"/>
      <c r="L70" s="71"/>
      <c r="M70" s="71"/>
      <c r="N70" s="71"/>
      <c r="O70" s="71"/>
      <c r="P70" s="71"/>
      <c r="Q70" s="71"/>
      <c r="R70" s="71"/>
      <c r="S70" s="71"/>
      <c r="T70" s="71"/>
    </row>
    <row r="71" spans="1:20" ht="15.6" hidden="1" customHeight="1">
      <c r="B71" s="7"/>
    </row>
    <row r="72" spans="1:20" ht="15.6" hidden="1" customHeight="1">
      <c r="B72" s="7"/>
    </row>
    <row r="73" spans="1:20" ht="15.6" hidden="1" customHeight="1">
      <c r="B73" s="7"/>
    </row>
    <row r="74" spans="1:20" ht="15.6" hidden="1" customHeight="1">
      <c r="B74" s="7"/>
    </row>
    <row r="75" spans="1:20" ht="15.6" hidden="1" customHeight="1">
      <c r="B75" s="7"/>
    </row>
  </sheetData>
  <sheetProtection sheet="1" objects="1" scenarios="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C754B19F24CED7488E2EAD51ACEAED9D" ma:contentTypeVersion="5" ma:contentTypeDescription="Opprett et nytt dokument." ma:contentTypeScope="" ma:versionID="18fd09ae6136cda755da40f4fce309a6">
  <xsd:schema xmlns:xsd="http://www.w3.org/2001/XMLSchema" xmlns:xs="http://www.w3.org/2001/XMLSchema" xmlns:p="http://schemas.microsoft.com/office/2006/metadata/properties" xmlns:ns2="117371b3-fca3-4a1d-8b8f-9011a132f388" targetNamespace="http://schemas.microsoft.com/office/2006/metadata/properties" ma:root="true" ma:fieldsID="75cf46fd5173f6883f6f56efbcaaa4bb" ns2:_="">
    <xsd:import namespace="117371b3-fca3-4a1d-8b8f-9011a132f3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7371b3-fca3-4a1d-8b8f-9011a132f3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A8F804-42F9-4835-BBAA-38FD313ED739}">
  <ds:schemaRefs>
    <ds:schemaRef ds:uri="http://schemas.openxmlformats.org/package/2006/metadata/core-properties"/>
    <ds:schemaRef ds:uri="http://purl.org/dc/terms/"/>
    <ds:schemaRef ds:uri="117371b3-fca3-4a1d-8b8f-9011a132f388"/>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73E69F11-578D-4A53-B49E-EF2D03D5EC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7371b3-fca3-4a1d-8b8f-9011a132f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A74CE9-B1F2-4DDE-9F3F-C8A1F6E9C5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71</vt:i4>
      </vt:variant>
    </vt:vector>
  </HeadingPairs>
  <TitlesOfParts>
    <vt:vector size="77" baseType="lpstr">
      <vt:lpstr>Data</vt:lpstr>
      <vt:lpstr>Introduksjon</vt:lpstr>
      <vt:lpstr>Inputdata</vt:lpstr>
      <vt:lpstr>Modell</vt:lpstr>
      <vt:lpstr>Forutsetninger</vt:lpstr>
      <vt:lpstr>Prognoser</vt:lpstr>
      <vt:lpstr>a_avdrag</vt:lpstr>
      <vt:lpstr>a_avdrag_kol</vt:lpstr>
      <vt:lpstr>a_driutg</vt:lpstr>
      <vt:lpstr>a_driutg_kol</vt:lpstr>
      <vt:lpstr>a_inv</vt:lpstr>
      <vt:lpstr>a_inv_innt</vt:lpstr>
      <vt:lpstr>a_inv_innt_kol</vt:lpstr>
      <vt:lpstr>a_inv_kol</vt:lpstr>
      <vt:lpstr>akk_merforbruk</vt:lpstr>
      <vt:lpstr>akk_merforbruk_kol</vt:lpstr>
      <vt:lpstr>Andel_rentebinding</vt:lpstr>
      <vt:lpstr>Andel_rentebinding_default</vt:lpstr>
      <vt:lpstr>andel_skatt</vt:lpstr>
      <vt:lpstr>andel_skatt_kol</vt:lpstr>
      <vt:lpstr>andre_skatter_d</vt:lpstr>
      <vt:lpstr>andre_skatter_kol</vt:lpstr>
      <vt:lpstr>avdragsutg_old_kol</vt:lpstr>
      <vt:lpstr>Avdragsutgifter</vt:lpstr>
      <vt:lpstr>avkastning_finansformue</vt:lpstr>
      <vt:lpstr>avkastning_finansformue_kol</vt:lpstr>
      <vt:lpstr>Brutto_låneopptak</vt:lpstr>
      <vt:lpstr>Differanse_disposisjonsfond</vt:lpstr>
      <vt:lpstr>dispfond</vt:lpstr>
      <vt:lpstr>dispfond_kol</vt:lpstr>
      <vt:lpstr>Driftsutgifter</vt:lpstr>
      <vt:lpstr>drinnt</vt:lpstr>
      <vt:lpstr>drinnt_d_kol</vt:lpstr>
      <vt:lpstr>drinnt_old</vt:lpstr>
      <vt:lpstr>driutg_old_kol</vt:lpstr>
      <vt:lpstr>finansformue</vt:lpstr>
      <vt:lpstr>finansformue_kol</vt:lpstr>
      <vt:lpstr>Forutsetninger</vt:lpstr>
      <vt:lpstr>Forventet_rente</vt:lpstr>
      <vt:lpstr>Gjeld</vt:lpstr>
      <vt:lpstr>gjeld_kol</vt:lpstr>
      <vt:lpstr>gjeld_old</vt:lpstr>
      <vt:lpstr>Gjeldsandel</vt:lpstr>
      <vt:lpstr>Gjeldsandel_faktisk</vt:lpstr>
      <vt:lpstr>gjeldsandel_old</vt:lpstr>
      <vt:lpstr>inv_innt_old_kol</vt:lpstr>
      <vt:lpstr>Investeringer</vt:lpstr>
      <vt:lpstr>investeringer_old_kol</vt:lpstr>
      <vt:lpstr>Investeringsinntekter</vt:lpstr>
      <vt:lpstr>kommnavn_kol</vt:lpstr>
      <vt:lpstr>kommnr_kol</vt:lpstr>
      <vt:lpstr>Kommunenr</vt:lpstr>
      <vt:lpstr>Min_netdrires19</vt:lpstr>
      <vt:lpstr>Minimum_disposisjonsfond</vt:lpstr>
      <vt:lpstr>Minimum_netto_driftsresultat</vt:lpstr>
      <vt:lpstr>Netdrires_rom</vt:lpstr>
      <vt:lpstr>renteeksp_gjeld</vt:lpstr>
      <vt:lpstr>renteeksp_gjeld_kol</vt:lpstr>
      <vt:lpstr>renteinnt_utbytte_kol</vt:lpstr>
      <vt:lpstr>renteinnt_utbytte_old</vt:lpstr>
      <vt:lpstr>Renteinntekter_og_utbytte</vt:lpstr>
      <vt:lpstr>renteutg_old_kol</vt:lpstr>
      <vt:lpstr>Renteutgifter</vt:lpstr>
      <vt:lpstr>Renteøkning_avkastning</vt:lpstr>
      <vt:lpstr>Renteøkning_lån</vt:lpstr>
      <vt:lpstr>Risiko_andre_skatter</vt:lpstr>
      <vt:lpstr>Risiko_renteinntekt</vt:lpstr>
      <vt:lpstr>Risiko_skatt_over_90</vt:lpstr>
      <vt:lpstr>Risiko_skatt_under_90</vt:lpstr>
      <vt:lpstr>risikojust_min_netdrires</vt:lpstr>
      <vt:lpstr>Risikojustert_minimumsnivå_nettodriftsresultat</vt:lpstr>
      <vt:lpstr>skatt_inntf_natur</vt:lpstr>
      <vt:lpstr>skatt_inntf_natur_kol</vt:lpstr>
      <vt:lpstr>skatterisiko</vt:lpstr>
      <vt:lpstr>vekst_driftsinntekter</vt:lpstr>
      <vt:lpstr>År_på_bygge_opp_dispfond</vt:lpstr>
      <vt:lpstr>År_renteoppgang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Aalen</dc:creator>
  <cp:lastModifiedBy>Peter Aalen</cp:lastModifiedBy>
  <dcterms:created xsi:type="dcterms:W3CDTF">2018-07-03T11:52:12Z</dcterms:created>
  <dcterms:modified xsi:type="dcterms:W3CDTF">2021-10-11T15:53:26Z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0x010100C754B19F24CED7488E2EAD51ACEAED9D</vt:lpwstr>
  </property>
  <property fmtid="{D5CDD505-2E9C-101B-9397-08002B2CF9AE}" pid="3" name="AuthorIds_UIVersion_512">
    <vt:lpwstr>19</vt:lpwstr>
  </property>
</Properties>
</file>